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120" windowHeight="7995" activeTab="0"/>
  </bookViews>
  <sheets>
    <sheet name="Logframe" sheetId="1" r:id="rId1"/>
    <sheet name="Simple Diagram" sheetId="2" r:id="rId2"/>
    <sheet name="Diagram" sheetId="3" r:id="rId3"/>
    <sheet name="Annual Review" sheetId="4" r:id="rId4"/>
    <sheet name="Output_4.1 methodology" sheetId="5" r:id="rId5"/>
  </sheets>
  <definedNames>
    <definedName name="Imp_1_Source">'Logframe'!$D$6</definedName>
    <definedName name="Imp_2_Source">'Logframe'!$D$11</definedName>
    <definedName name="IMPACT">'Logframe'!$A$3</definedName>
    <definedName name="Impact_1_Achieved_2013">'Logframe'!$F$4</definedName>
    <definedName name="Impact_1_Achieved_2014">'Logframe'!$E$4</definedName>
    <definedName name="Impact_1_Achieved_2015">'Logframe'!$G$4</definedName>
    <definedName name="Impact_1_Baseline_2012">'Logframe'!$D$3</definedName>
    <definedName name="Impact_1_Planned_2013">'Logframe'!$E$3</definedName>
    <definedName name="Impact_1_Planned_2014">'Logframe'!$F$3</definedName>
    <definedName name="Impact_1_Planned_2015">'Logframe'!$G$3</definedName>
    <definedName name="Impact_2_Achieved_2013">'Logframe'!$E$9</definedName>
    <definedName name="Impact_2_Achieved_2014">'Logframe'!$F$9</definedName>
    <definedName name="Impact_2_Achieved_2015">'Logframe'!$G$9</definedName>
    <definedName name="Impact_2_Baseline_2012">'Logframe'!$D$8</definedName>
    <definedName name="Impact_2_Planned_2013">'Logframe'!$E$8</definedName>
    <definedName name="Impact_2_Planned_2014">'Logframe'!$F$8</definedName>
    <definedName name="Impact_2_Planned_2015">'Logframe'!$G$8</definedName>
    <definedName name="Impact_Indicator_1">'Logframe'!$B$3</definedName>
    <definedName name="Impact_Indicator_2">'Logframe'!$B$8</definedName>
    <definedName name="IMPACT_WEIGHTING_1">'Logframe'!$A$48</definedName>
    <definedName name="IMPACT_WEIGHTING_2">'Logframe'!$A$73</definedName>
    <definedName name="IMPACT_WEIGHTING_3">'Logframe'!$A$98</definedName>
    <definedName name="IMPACT_WEIGHTING_4">'Logframe'!$A$123</definedName>
    <definedName name="IMPACT_WEIGHTING_5">'Logframe'!$A$148</definedName>
    <definedName name="IMPACT_WEIGHTING_OUTPUT_1">'Logframe'!$A$48</definedName>
    <definedName name="IMPACT_WEIGHTING_OUTPUT_2">'Logframe'!$A$73</definedName>
    <definedName name="IMPACT_WEIGHTING_OUTPUT_4">'Logframe'!$A$98</definedName>
    <definedName name="IMPACT_WEIGHTING_OUTPUT_5">'Logframe'!$A$148</definedName>
    <definedName name="Out_1_Source">'Logframe'!$D$17</definedName>
    <definedName name="Out_2_Source">'Logframe'!$D$22</definedName>
    <definedName name="Out_3_Source">'Logframe'!$D$28</definedName>
    <definedName name="OUTCOME">'Logframe'!$A$14</definedName>
    <definedName name="Outcome_1_Achieved_2013">'Logframe'!$E$15</definedName>
    <definedName name="Outcome_1_Achieved_2014">'Logframe'!$F$15</definedName>
    <definedName name="Outcome_1_Achieved_2015">'Logframe'!$G$15</definedName>
    <definedName name="Outcome_1_Baseline_2012">'Logframe'!$D$14</definedName>
    <definedName name="Outcome_1_Planned_2013">'Logframe'!$E$14</definedName>
    <definedName name="Outcome_1_Planned_2014">'Logframe'!$F$14</definedName>
    <definedName name="Outcome_1_Planned_2015">'Logframe'!$G$14</definedName>
    <definedName name="Outcome_2_Achieved_2013">'Logframe'!$E$20</definedName>
    <definedName name="Outcome_2_Achieved_2014">'Logframe'!$F$20</definedName>
    <definedName name="Outcome_2_Achieved_2015">'Logframe'!$G$20</definedName>
    <definedName name="Outcome_2_Baseline_2012">'Logframe'!$D$19</definedName>
    <definedName name="Outcome_2_Planned_2013">'Logframe'!$E$19</definedName>
    <definedName name="Outcome_2_Planned_2014">'Logframe'!$F$19</definedName>
    <definedName name="Outcome_2_Planned_2015">'Logframe'!$G$19</definedName>
    <definedName name="Outcome_3_Achieved_2013">'Logframe'!$E$25</definedName>
    <definedName name="Outcome_3_Achieved_2014">'Logframe'!$F$25</definedName>
    <definedName name="Outcome_3_Achieved_2015">'Logframe'!$G$25</definedName>
    <definedName name="Outcome_3_Baseline_2012">'Logframe'!$D$24</definedName>
    <definedName name="Outcome_3_Planned_2013">'Logframe'!$E$24</definedName>
    <definedName name="Outcome_3_Planned_2014">'Logframe'!$F$24</definedName>
    <definedName name="Outcome_3_Planned_2015">'Logframe'!$G$24</definedName>
    <definedName name="Outcome_Indicator_1">'Logframe'!$B$14</definedName>
    <definedName name="Outcome_Indicator_2">'Logframe'!$B$19</definedName>
    <definedName name="Outcome_Indicator_3">'Logframe'!$B$24</definedName>
    <definedName name="OUTPUT_1">'Logframe'!$A$33</definedName>
    <definedName name="Output_1.1_Achieved_2013">'Logframe'!$E$34</definedName>
    <definedName name="Output_1.1_Achieved_2014">'Logframe'!$F$34</definedName>
    <definedName name="Output_1.1_Achieved_2015">'Logframe'!$G$34</definedName>
    <definedName name="Output_1.1_Baseline_2012">'Logframe'!$D$33</definedName>
    <definedName name="Output_1.1_Planned_2013">'Logframe'!$E$33</definedName>
    <definedName name="Output_1.1_Planned_2014">'Logframe'!$F$33</definedName>
    <definedName name="Output_1.1_Planned_2015">'Logframe'!$G$33</definedName>
    <definedName name="Output_1.1_Source">'Logframe'!$C$36</definedName>
    <definedName name="Output_1.2_Achieved_2013">'Logframe'!$E$39</definedName>
    <definedName name="Output_1.2_Achieved_2014">'Logframe'!$F$39</definedName>
    <definedName name="Output_1.2_Achieved_2015">'Logframe'!$G$39</definedName>
    <definedName name="Output_1.2_Baseline_2012">'Logframe'!$D$38</definedName>
    <definedName name="Output_1.2_Planned_2013">'Logframe'!$E$38</definedName>
    <definedName name="Output_1.2_Planned_2014">'Logframe'!$F$38</definedName>
    <definedName name="Output_1.2_Planned_2015">'Logframe'!$G$38</definedName>
    <definedName name="Output_1.2_Source">'Logframe'!$C$41</definedName>
    <definedName name="Output_1.3_Achieved_2013">'Logframe'!$E$44</definedName>
    <definedName name="Output_1.3_Achieved_2014">'Logframe'!$F$44</definedName>
    <definedName name="Output_1.3_Achieved_2015">'Logframe'!$G$44</definedName>
    <definedName name="Output_1.3_Baseline_2012">'Logframe'!$D$43</definedName>
    <definedName name="Output_1.3_Planned_2013">'Logframe'!$E$43</definedName>
    <definedName name="Output_1.3_Planned_2014">'Logframe'!$F$43</definedName>
    <definedName name="Output_1.3_Planned_2015">'Logframe'!$G$43</definedName>
    <definedName name="Output_1.3_Source">'Logframe'!$C$46</definedName>
    <definedName name="Output_1.4_Achieved_2013">'Logframe'!$E$49</definedName>
    <definedName name="Output_1.4_Achieved_2014">'Logframe'!$F$49</definedName>
    <definedName name="Output_1.4_Achieved_2015">'Logframe'!$G$49</definedName>
    <definedName name="Output_1.4_Baseline_2012">'Logframe'!$D$48</definedName>
    <definedName name="Output_1.4_Planned_2013">'Logframe'!$E$48</definedName>
    <definedName name="Output_1.4_Planned_2014">'Logframe'!$F$48</definedName>
    <definedName name="Output_1.4_Planned_2015">'Logframe'!$G$48</definedName>
    <definedName name="Output_1.4_Source">'Logframe'!$C$51</definedName>
    <definedName name="OUTPUT_2">'Logframe'!$A$58</definedName>
    <definedName name="Output_2.1_Achieved_2013">'Logframe'!$E$59</definedName>
    <definedName name="Output_2.1_Achieved_2014">'Logframe'!$F$59</definedName>
    <definedName name="Output_2.1_Achieved_2015">'Logframe'!$G$59</definedName>
    <definedName name="Output_2.1_Baseline_2012">'Logframe'!$D$58</definedName>
    <definedName name="Output_2.1_Planned_2013">'Logframe'!$E$58</definedName>
    <definedName name="Output_2.1_Planned_2014">'Logframe'!$F$58</definedName>
    <definedName name="Output_2.1_Planned_2015">'Logframe'!$G$58</definedName>
    <definedName name="Output_2.1_Source">'Logframe'!$C$61</definedName>
    <definedName name="Output_2.2_Achieved_2013">'Logframe'!$E$64</definedName>
    <definedName name="Output_2.2_Achieved_2014">'Logframe'!$F$64</definedName>
    <definedName name="Output_2.2_Achieved_2015">'Logframe'!$G$64</definedName>
    <definedName name="Output_2.2_Baseline_2012">'Logframe'!$D$63</definedName>
    <definedName name="Output_2.2_Planned_2013">'Logframe'!$E$63</definedName>
    <definedName name="Output_2.2_Planned_2014">'Logframe'!$F$63</definedName>
    <definedName name="Output_2.2_Planned_2015">'Logframe'!$G$63</definedName>
    <definedName name="Output_2.2_Source">'Logframe'!$C$66</definedName>
    <definedName name="Output_2.3_Achieved_2013">'Logframe'!$E$69</definedName>
    <definedName name="Output_2.3_Achieved_2014">'Logframe'!$F$69</definedName>
    <definedName name="Output_2.3_Achieved_2015">'Logframe'!$G$69</definedName>
    <definedName name="Output_2.3_Baseline_2012">'Logframe'!$D$68</definedName>
    <definedName name="Output_2.3_Planned_2013">'Logframe'!$E$68</definedName>
    <definedName name="Output_2.3_Planned_2014">'Logframe'!$F$68</definedName>
    <definedName name="Output_2.3_Planned_2015">'Logframe'!$G$68</definedName>
    <definedName name="Output_2.3_Source">'Logframe'!$C$71</definedName>
    <definedName name="Output_2.4_Achieved_2013">'Logframe'!$E$74</definedName>
    <definedName name="Output_2.4_Achieved_2014">'Logframe'!$F$74</definedName>
    <definedName name="Output_2.4_Achieved_2015">'Logframe'!$G$74</definedName>
    <definedName name="Output_2.4_Baseline_2012">'Logframe'!$D$73</definedName>
    <definedName name="Output_2.4_Planned_2013">'Logframe'!$E$73</definedName>
    <definedName name="Output_2.4_Planned_2014">'Logframe'!$F$73</definedName>
    <definedName name="Output_2.4_Planned_2015">'Logframe'!$G$73</definedName>
    <definedName name="Output_2.4_Source">'Logframe'!$C$76</definedName>
    <definedName name="OUTPUT_3">'Logframe'!$A$83</definedName>
    <definedName name="Output_3.1_Achieved_2013">'Logframe'!$E$84</definedName>
    <definedName name="Output_3.1_Achieved_2014">'Logframe'!$F$84</definedName>
    <definedName name="Output_3.1_Achieved_2015">'Logframe'!$G$84</definedName>
    <definedName name="Output_3.1_Baseline_2012">'Logframe'!$D$83</definedName>
    <definedName name="Output_3.1_Planned_2013">'Logframe'!$E$83</definedName>
    <definedName name="Output_3.1_Planned_2014">'Logframe'!$F$83</definedName>
    <definedName name="Output_3.1_Planned_2015">'Logframe'!$G$83</definedName>
    <definedName name="Output_3.1_Source">'Logframe'!$C$86</definedName>
    <definedName name="Output_3.2_Achieved_2013">'Logframe'!$E$89</definedName>
    <definedName name="Output_3.2_Achieved_2014">'Logframe'!$F$89</definedName>
    <definedName name="Output_3.2_Achieved_2015">'Logframe'!$G$89</definedName>
    <definedName name="Output_3.2_Baseline_2012">'Logframe'!$D$88</definedName>
    <definedName name="Output_3.2_Planned_2013">'Logframe'!$E$88</definedName>
    <definedName name="Output_3.2_Planned_2014">'Logframe'!$F$88</definedName>
    <definedName name="Output_3.2_Planned_2015">'Logframe'!$G$88</definedName>
    <definedName name="Output_3.2_Source">'Logframe'!$C$91</definedName>
    <definedName name="Output_3.3_Achieved_2013">'Logframe'!$E$94</definedName>
    <definedName name="Output_3.3_Achieved_2014">'Logframe'!$F$94</definedName>
    <definedName name="Output_3.3_Achieved_2015">'Logframe'!$G$94</definedName>
    <definedName name="Output_3.3_Baseline_2012">'Logframe'!$D$93</definedName>
    <definedName name="Output_3.3_Planned_2013">'Logframe'!$E$93</definedName>
    <definedName name="Output_3.3_Planned_2014">'Logframe'!$F$93</definedName>
    <definedName name="Output_3.3_Planned_2015">'Logframe'!$G$93</definedName>
    <definedName name="Output_3.3_Source">'Logframe'!$C$96</definedName>
    <definedName name="Output_3.4_Achieved_2013">'Logframe'!$E$99</definedName>
    <definedName name="Output_3.4_Achieved_2014">'Logframe'!$F$99</definedName>
    <definedName name="Output_3.4_Achieved_2015">'Logframe'!$G$99</definedName>
    <definedName name="Output_3.4_Baseline_2012">'Logframe'!$D$98</definedName>
    <definedName name="Output_3.4_Planned_2013">'Logframe'!$E$98</definedName>
    <definedName name="Output_3.4_Planned_2014">'Logframe'!$F$98</definedName>
    <definedName name="Output_3.4_Planned_2015">'Logframe'!$G$98</definedName>
    <definedName name="Output_3.4_Source">'Logframe'!$C$101</definedName>
    <definedName name="OUTPUT_4">'Logframe'!$A$108</definedName>
    <definedName name="Output_4.1_Achieved_2013">'Logframe'!$E$109</definedName>
    <definedName name="Output_4.1_Achieved_2014">'Logframe'!$F$109</definedName>
    <definedName name="Output_4.1_Achieved_2015">'Logframe'!$G$109</definedName>
    <definedName name="Output_4.1_Baseline_2012">'Logframe'!$D$108</definedName>
    <definedName name="Output_4.1_Planned_2013">'Logframe'!$E$108</definedName>
    <definedName name="Output_4.1_Planned_2014">'Logframe'!$F$108</definedName>
    <definedName name="Output_4.1_Planned_2015">'Logframe'!$G$108</definedName>
    <definedName name="Output_4.1_Source">'Logframe'!$C$111</definedName>
    <definedName name="Output_4.2_Achieved_2013">'Logframe'!$E$114</definedName>
    <definedName name="Output_4.2_Achieved_2014">'Logframe'!$F$114</definedName>
    <definedName name="Output_4.2_Achieved_2015">'Logframe'!$G$114</definedName>
    <definedName name="Output_4.2_Baseline_2012">'Logframe'!$D$113</definedName>
    <definedName name="Output_4.2_Planned_2013">'Logframe'!$E$113</definedName>
    <definedName name="Output_4.2_Planned_2014">'Logframe'!$F$113</definedName>
    <definedName name="Output_4.2_Planned_2015">'Logframe'!$G$113</definedName>
    <definedName name="Output_4.2_Source">'Logframe'!$C$116</definedName>
    <definedName name="Output_4.3_Achieved_2013">'Logframe'!$E$119</definedName>
    <definedName name="Output_4.3_Achieved_2014">'Logframe'!$F$119</definedName>
    <definedName name="Output_4.3_Achieved_2015">'Logframe'!$G$119</definedName>
    <definedName name="Output_4.3_Baseline_2012">'Logframe'!$D$118</definedName>
    <definedName name="Output_4.3_Planned_2013">'Logframe'!$E$118</definedName>
    <definedName name="Output_4.3_Planned_2014">'Logframe'!$F$118</definedName>
    <definedName name="Output_4.3_Planned_2015">'Logframe'!$G$118</definedName>
    <definedName name="Output_4.3_Source">'Logframe'!$C$121</definedName>
    <definedName name="Output_4.4_Achieved_2013">'Logframe'!$E$124</definedName>
    <definedName name="Output_4.4_Achieved_2014">'Logframe'!$F$124</definedName>
    <definedName name="Output_4.4_Achieved_2015">'Logframe'!$G$124</definedName>
    <definedName name="Output_4.4_Baseline_2012">'Logframe'!$D$123</definedName>
    <definedName name="Output_4.4_Planned_2013">'Logframe'!$E$123</definedName>
    <definedName name="Output_4.4_Planned_2014">'Logframe'!$F$123</definedName>
    <definedName name="Output_4.4_Planned_2015">'Logframe'!$G$123</definedName>
    <definedName name="Output_4.4_Source">'Logframe'!$C$126</definedName>
    <definedName name="OUTPUT_5">'Logframe'!$A$133</definedName>
    <definedName name="Output_5.1_Achieved_2013">'Logframe'!$E$134</definedName>
    <definedName name="Output_5.1_Achieved_2014">'Logframe'!$F$134</definedName>
    <definedName name="Output_5.1_Achieved_2015">'Logframe'!$G$134</definedName>
    <definedName name="Output_5.1_Baseline_2012">'Logframe'!$D$133</definedName>
    <definedName name="Output_5.1_Planned_2013">'Logframe'!$E$133</definedName>
    <definedName name="Output_5.1_Planned_2014">'Logframe'!$F$133</definedName>
    <definedName name="Output_5.1_Planned_2015">'Logframe'!$G$133</definedName>
    <definedName name="Output_5.1_Source">'Logframe'!$C$136</definedName>
    <definedName name="Output_5.2_Achieved_2013">'Logframe'!$E$139</definedName>
    <definedName name="Output_5.2_Achieved_2014">'Logframe'!$F$139</definedName>
    <definedName name="Output_5.2_Achieved_2015">'Logframe'!$G$139</definedName>
    <definedName name="Output_5.2_Baseline_2012">'Logframe'!$D$138</definedName>
    <definedName name="Output_5.2_Planned_2013">'Logframe'!$E$138</definedName>
    <definedName name="Output_5.2_Planned_2014">'Logframe'!$F$138</definedName>
    <definedName name="Output_5.2_Planned_2015">'Logframe'!$G$138</definedName>
    <definedName name="Output_5.2_Source">'Logframe'!$C$141</definedName>
    <definedName name="Output_5.3_Achieved_2013">'Logframe'!$E$144</definedName>
    <definedName name="Output_5.3_Achieved_2014">'Logframe'!$F$144</definedName>
    <definedName name="Output_5.3_Achieved_2015">'Logframe'!$G$144</definedName>
    <definedName name="Output_5.3_Baseline_2012">'Logframe'!$D$143</definedName>
    <definedName name="Output_5.3_Planned_2013">'Logframe'!$E$143</definedName>
    <definedName name="Output_5.3_Planned_2014">'Logframe'!$F$143</definedName>
    <definedName name="Output_5.3_Planned_2015">'Logframe'!$G$143</definedName>
    <definedName name="Output_5.3_Source">'Logframe'!$C$146</definedName>
    <definedName name="Output_5.4_Achieved_2013">'Logframe'!$E$149</definedName>
    <definedName name="Output_5.4_Achieved_2014">'Logframe'!$F$149</definedName>
    <definedName name="Output_5.4_Achieved_2015">'Logframe'!$G$149</definedName>
    <definedName name="Output_5.4_Baseline_2012">'Logframe'!$D$148</definedName>
    <definedName name="Output_5.4_Planned_2013">'Logframe'!$E$148</definedName>
    <definedName name="Output_5.4_Planned_2014">'Logframe'!$F$148</definedName>
    <definedName name="Output_5.4_Planned_2015">'Logframe'!$G$148</definedName>
    <definedName name="Output_5.4_Source">'Logframe'!$C$151</definedName>
    <definedName name="Output_Indicator_1.1">'Logframe'!$B$33</definedName>
    <definedName name="Output_Indicator_1.2">'Logframe'!$B$38</definedName>
    <definedName name="Output_Indicator_1.3">'Logframe'!$B$43</definedName>
    <definedName name="Output_Indicator_1.4">'Logframe'!$B$48</definedName>
    <definedName name="Output_Indicator_2.1">'Logframe'!$B$58</definedName>
    <definedName name="Output_Indicator_2.2">'Logframe'!$B$63</definedName>
    <definedName name="Output_Indicator_2.3">'Logframe'!$B$68</definedName>
    <definedName name="Output_Indicator_2.4">'Logframe'!$B$73</definedName>
    <definedName name="Output_Indicator_3.1">'Logframe'!$B$83</definedName>
    <definedName name="Output_Indicator_3.2">'Logframe'!$B$88</definedName>
    <definedName name="Output_Indicator_3.3">'Logframe'!$B$93</definedName>
    <definedName name="Output_Indicator_3.4">'Logframe'!$B$98</definedName>
    <definedName name="Output_Indicator_4.1">'Logframe'!$B$108</definedName>
    <definedName name="Output_Indicator_4.2">'Logframe'!$B$113</definedName>
    <definedName name="Output_Indicator_4.3">'Logframe'!$B$118</definedName>
    <definedName name="Output_Indicator_4.4">'Logframe'!$B$123</definedName>
    <definedName name="Output_Indicator_5.1">'Logframe'!$B$133</definedName>
    <definedName name="Output_Indicator_5.2">'Logframe'!$B$138</definedName>
    <definedName name="Output_Indicator_5.3">'Logframe'!$B$143</definedName>
    <definedName name="Output_Indicator_5.4">'Logframe'!$B$148</definedName>
    <definedName name="Planned">'Logframe'!$D$14</definedName>
    <definedName name="_xlnm.Print_Area" localSheetId="3">'Annual Review'!$B$3:$N$38</definedName>
    <definedName name="_xlnm.Print_Area" localSheetId="2">'Diagram'!$B$1:$L$35</definedName>
    <definedName name="_xlnm.Print_Area" localSheetId="0">'Logframe'!$A$1:$H$155</definedName>
    <definedName name="PROJECT_NAME">'Logframe'!$B$1</definedName>
    <definedName name="Risk_Rating">'Annual Review'!$B$49:$B$51</definedName>
    <definedName name="Score">#REF!</definedName>
  </definedNames>
  <calcPr fullCalcOnLoad="1"/>
</workbook>
</file>

<file path=xl/sharedStrings.xml><?xml version="1.0" encoding="utf-8"?>
<sst xmlns="http://schemas.openxmlformats.org/spreadsheetml/2006/main" count="284" uniqueCount="116">
  <si>
    <t>PROJECT NAME</t>
  </si>
  <si>
    <t>IMPACT</t>
  </si>
  <si>
    <t>Planned</t>
  </si>
  <si>
    <t>Achieved</t>
  </si>
  <si>
    <t>Source</t>
  </si>
  <si>
    <t>OUTCOME</t>
  </si>
  <si>
    <t>Assumptions</t>
  </si>
  <si>
    <t>INPUTS (£)</t>
  </si>
  <si>
    <t>DFID (£)</t>
  </si>
  <si>
    <t>Govt (£)</t>
  </si>
  <si>
    <t>Other (£)</t>
  </si>
  <si>
    <t>Total (£)</t>
  </si>
  <si>
    <t>DFID SHARE (%)</t>
  </si>
  <si>
    <t>INPUTS (HR)</t>
  </si>
  <si>
    <t>DFID (FTEs)</t>
  </si>
  <si>
    <t>Assumption</t>
  </si>
  <si>
    <t>IMPACT WEIGHTING (%)</t>
  </si>
  <si>
    <t>RISK RATING</t>
  </si>
  <si>
    <t>Output Indicator 1.1</t>
  </si>
  <si>
    <t>Output Indicator 1.2</t>
  </si>
  <si>
    <t>Output Indicator 1.3</t>
  </si>
  <si>
    <t>Output Indicator 2.2</t>
  </si>
  <si>
    <t>Output Indicator 2.3</t>
  </si>
  <si>
    <t>Impact Indicator 1</t>
  </si>
  <si>
    <t>Impact Indicator 2</t>
  </si>
  <si>
    <t>Milestone 2013</t>
  </si>
  <si>
    <t xml:space="preserve">Output Indicator 2.1 </t>
  </si>
  <si>
    <t>Medium</t>
  </si>
  <si>
    <t>OUTPUTS</t>
  </si>
  <si>
    <t>Indicators</t>
  </si>
  <si>
    <t>Results Chain</t>
  </si>
  <si>
    <t>Outcome Indicator 1</t>
  </si>
  <si>
    <t>Outcome Indicator 2</t>
  </si>
  <si>
    <t>Outcome Indicator 3</t>
  </si>
  <si>
    <t xml:space="preserve">OUTPUT 1 </t>
  </si>
  <si>
    <t>OUTPUT 2</t>
  </si>
  <si>
    <t>OUTPUT 3</t>
  </si>
  <si>
    <t xml:space="preserve">Output Indicator 3.1 </t>
  </si>
  <si>
    <t>Output Indicator 3.2</t>
  </si>
  <si>
    <t>Output Indicator 3.3</t>
  </si>
  <si>
    <t>Score</t>
  </si>
  <si>
    <t>A++</t>
  </si>
  <si>
    <t>A+</t>
  </si>
  <si>
    <t>B</t>
  </si>
  <si>
    <t>C</t>
  </si>
  <si>
    <t>A</t>
  </si>
  <si>
    <t>Low</t>
  </si>
  <si>
    <t>High</t>
  </si>
  <si>
    <t>Threshold</t>
  </si>
  <si>
    <t>Value</t>
  </si>
  <si>
    <t>OUTPUT 4</t>
  </si>
  <si>
    <t xml:space="preserve">Output Indicator 4.1 </t>
  </si>
  <si>
    <t>Output Indicator 4.2</t>
  </si>
  <si>
    <t>Output Indicator 4.3</t>
  </si>
  <si>
    <t>n/a</t>
  </si>
  <si>
    <t>Outputs moderately exceeded expectation</t>
  </si>
  <si>
    <t>Outputs met expectation</t>
  </si>
  <si>
    <t>Outputs substantially exceeded expectation</t>
  </si>
  <si>
    <t>Outputs moderately did not meet expectations</t>
  </si>
  <si>
    <t>Outputs substantially did not meet expectations</t>
  </si>
  <si>
    <t xml:space="preserve">Risk </t>
  </si>
  <si>
    <t>OUTPUT 5</t>
  </si>
  <si>
    <t>Output Indicator 5.1</t>
  </si>
  <si>
    <t>Output Indicator 5.2</t>
  </si>
  <si>
    <t>Output Indicator 5.3</t>
  </si>
  <si>
    <t>Baseline 2012</t>
  </si>
  <si>
    <t>Milestone 2014</t>
  </si>
  <si>
    <t>Output Indicator 1.4</t>
  </si>
  <si>
    <t>Output Indicator 2.4</t>
  </si>
  <si>
    <t>Output Indicator 3.4</t>
  </si>
  <si>
    <t>Output Indicator 4.4</t>
  </si>
  <si>
    <t>Output Indicator 5.4</t>
  </si>
  <si>
    <t>OVERALL OUTPUT  SCORE</t>
  </si>
  <si>
    <r>
      <t xml:space="preserve">Reduced poverty &amp; vulnerability of Palestinians in the OPTs and the region.  </t>
    </r>
    <r>
      <rPr>
        <b/>
        <sz val="8"/>
        <rFont val="Arial"/>
        <family val="2"/>
      </rPr>
      <t> </t>
    </r>
  </si>
  <si>
    <r>
      <t>Depth of poverty:</t>
    </r>
    <r>
      <rPr>
        <sz val="9"/>
        <color indexed="8"/>
        <rFont val="Arial"/>
        <family val="2"/>
      </rPr>
      <t xml:space="preserve"> Poverty gap index</t>
    </r>
  </si>
  <si>
    <r>
      <t>Palestinians at risk of displacement within the oPt are better able to uphold their housing land and property rights through provision of legal aid services and increased access to justice</t>
    </r>
    <r>
      <rPr>
        <b/>
        <sz val="8"/>
        <rFont val="Arial"/>
        <family val="2"/>
      </rPr>
      <t> </t>
    </r>
    <r>
      <rPr>
        <sz val="10"/>
        <color indexed="8"/>
        <rFont val="Garamond"/>
        <family val="1"/>
      </rPr>
      <t>.</t>
    </r>
  </si>
  <si>
    <t>% of households in Area C and East Jerusalem who receive a temporary suspension of demolition order due to legal representation provided through NRC</t>
  </si>
  <si>
    <t>NRC annual report</t>
  </si>
  <si>
    <t>Target 2014</t>
  </si>
  <si>
    <t>tbc</t>
  </si>
  <si>
    <t>% of beneficiaries participating in  information sessions who report the information presented will assist them in their daily lives  (sex disaggregated)</t>
  </si>
  <si>
    <t>at least 50%</t>
  </si>
  <si>
    <r>
      <rPr>
        <b/>
        <sz val="9"/>
        <rFont val="Arial"/>
        <family val="2"/>
      </rPr>
      <t xml:space="preserve">Preventative Legal Response </t>
    </r>
    <r>
      <rPr>
        <sz val="9"/>
        <rFont val="Arial"/>
        <family val="2"/>
      </rPr>
      <t xml:space="preserve"> A longer term legal strategy that helps to prevent demolitions and displacement</t>
    </r>
  </si>
  <si>
    <r>
      <rPr>
        <b/>
        <sz val="9"/>
        <rFont val="Arial"/>
        <family val="2"/>
      </rPr>
      <t xml:space="preserve">Emergency Legal Response </t>
    </r>
    <r>
      <rPr>
        <sz val="9"/>
        <rFont val="Arial"/>
        <family val="2"/>
      </rPr>
      <t xml:space="preserve">- Provision of emergency legal counselling to Palestinians at risk of displacement in Area C, East Jerusalem and Gaza.  </t>
    </r>
  </si>
  <si>
    <r>
      <rPr>
        <b/>
        <sz val="9"/>
        <rFont val="Arial"/>
        <family val="2"/>
      </rPr>
      <t xml:space="preserve">Policy Change Response </t>
    </r>
    <r>
      <rPr>
        <sz val="9"/>
        <rFont val="Arial"/>
        <family val="2"/>
      </rPr>
      <t xml:space="preserve">  -Influencing policy change on  HLP violations through advocacy. </t>
    </r>
  </si>
  <si>
    <t>Beneficiary surveys carried out after every information service,NRC annual report</t>
  </si>
  <si>
    <t>Collated from regular reporting and feedback, NRC annual report</t>
  </si>
  <si>
    <t>Number of  cases of positive action taken as a result of information received from NRC in an effort to reduce forced displacement (weighted measure)</t>
  </si>
  <si>
    <t xml:space="preserve">Number of households receiving legal counselling on HLP issues </t>
  </si>
  <si>
    <t xml:space="preserve">Number of opened  and ongoing cases of legal assistance </t>
  </si>
  <si>
    <t>NRC Annual Report</t>
  </si>
  <si>
    <t xml:space="preserve">Percentage of beneficiaries who are at least satisfied with quality of services provided </t>
  </si>
  <si>
    <t>NRC Annual Report using beneficiary surveys of households using legal services</t>
  </si>
  <si>
    <t>Number of Palestinians who receive legal services following potential HLP violations in the Gaza Access Restricted Area</t>
  </si>
  <si>
    <t>Number of discriminatory laws, policies or practices exposed through public interest cases</t>
  </si>
  <si>
    <t>NRC Annual report</t>
  </si>
  <si>
    <t>Number of lawyers receiving training (sex disaggregated)</t>
  </si>
  <si>
    <t>Number of cases where lawyers have demonstrated usage of information received from NRC training</t>
  </si>
  <si>
    <t>Surveys conducted after training, NRC Annual report</t>
  </si>
  <si>
    <t>Number of persons receiving information services (disaggregated by gender)</t>
  </si>
  <si>
    <t>Number of advocacy briefings given on specific HLP issues (verbal or written)</t>
  </si>
  <si>
    <t>Follow up surveys conducted, NRC Annual Report</t>
  </si>
  <si>
    <t xml:space="preserve">Number of  instances reported where NRC research documents have been used  </t>
  </si>
  <si>
    <r>
      <rPr>
        <b/>
        <sz val="9"/>
        <rFont val="Arial"/>
        <family val="2"/>
      </rPr>
      <t xml:space="preserve">PA Capacity Building Response  - </t>
    </r>
    <r>
      <rPr>
        <sz val="9"/>
        <rFont val="Arial"/>
        <family val="2"/>
      </rPr>
      <t>Strengthen the capacity of the PA to provide legal aid in HLP cases.</t>
    </r>
  </si>
  <si>
    <t>Options paper not produced</t>
  </si>
  <si>
    <t xml:space="preserve">Options paper produced with clear recommendations and costings and incorporated into PA's planning </t>
  </si>
  <si>
    <t>Options paper produced with recommendations and some costings</t>
  </si>
  <si>
    <t>Extent to which options paper has been produced</t>
  </si>
  <si>
    <t>Options paper produced but not comprehensive and no costings</t>
  </si>
  <si>
    <t>Number of direct issues of cooperation where NRC is actively working with UNDP and PA on development of a sustainable legal aid system for HLP law</t>
  </si>
  <si>
    <t>Extent to which an options paper is produced and being implemented  (Scale 1 to 5 see separate note)</t>
  </si>
  <si>
    <t>Information, Counselling and Legal Assistance for the protection of Palestinians affected by or at risk of displacement</t>
  </si>
  <si>
    <t>NRC Annual Report quality assured by DFID</t>
  </si>
  <si>
    <t>Annual number of demolitions</t>
  </si>
  <si>
    <t>Number of demolitions (tbc)</t>
  </si>
  <si>
    <t>OCHA?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</si>
</sst>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0.0%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9"/>
      <name val="Arial"/>
      <family val="2"/>
    </font>
    <font>
      <sz val="16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color indexed="62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6"/>
      <color indexed="62"/>
      <name val="Arial"/>
      <family val="2"/>
    </font>
    <font>
      <sz val="10"/>
      <color indexed="57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9"/>
      <name val="Arial"/>
      <family val="2"/>
    </font>
    <font>
      <sz val="10"/>
      <name val="Garamond"/>
      <family val="1"/>
    </font>
    <font>
      <b/>
      <sz val="8"/>
      <name val="Arial"/>
      <family val="2"/>
    </font>
    <font>
      <sz val="10"/>
      <color indexed="8"/>
      <name val="Garamond"/>
      <family val="1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24997000396251678"/>
      <name val="Arial"/>
      <family val="2"/>
    </font>
    <font>
      <sz val="10"/>
      <color theme="6" tint="-0.2499700039625167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4" tint="-0.2499700039625167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6" borderId="15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3" fillId="35" borderId="18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9" fontId="3" fillId="35" borderId="19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13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 wrapText="1"/>
    </xf>
    <xf numFmtId="0" fontId="61" fillId="38" borderId="0" xfId="0" applyFont="1" applyFill="1" applyAlignment="1">
      <alignment horizontal="center" vertical="center"/>
    </xf>
    <xf numFmtId="0" fontId="0" fillId="38" borderId="0" xfId="0" applyFill="1" applyAlignment="1">
      <alignment/>
    </xf>
    <xf numFmtId="0" fontId="62" fillId="38" borderId="0" xfId="0" applyFont="1" applyFill="1" applyAlignment="1">
      <alignment wrapText="1"/>
    </xf>
    <xf numFmtId="0" fontId="62" fillId="38" borderId="0" xfId="0" applyFont="1" applyFill="1" applyAlignment="1">
      <alignment/>
    </xf>
    <xf numFmtId="0" fontId="0" fillId="38" borderId="0" xfId="0" applyFill="1" applyAlignment="1">
      <alignment wrapText="1"/>
    </xf>
    <xf numFmtId="0" fontId="0" fillId="38" borderId="0" xfId="0" applyFill="1" applyBorder="1" applyAlignment="1">
      <alignment/>
    </xf>
    <xf numFmtId="0" fontId="10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wrapText="1"/>
    </xf>
    <xf numFmtId="0" fontId="0" fillId="38" borderId="0" xfId="0" applyFont="1" applyFill="1" applyAlignment="1">
      <alignment horizontal="center" vertical="center"/>
    </xf>
    <xf numFmtId="0" fontId="10" fillId="38" borderId="0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9" fontId="0" fillId="38" borderId="0" xfId="0" applyNumberFormat="1" applyFill="1" applyAlignment="1">
      <alignment horizontal="center" vertical="center"/>
    </xf>
    <xf numFmtId="0" fontId="2" fillId="39" borderId="0" xfId="0" applyFont="1" applyFill="1" applyBorder="1" applyAlignment="1">
      <alignment vertical="top" wrapText="1"/>
    </xf>
    <xf numFmtId="0" fontId="9" fillId="38" borderId="0" xfId="0" applyFont="1" applyFill="1" applyAlignment="1">
      <alignment horizontal="center" vertical="center"/>
    </xf>
    <xf numFmtId="0" fontId="0" fillId="38" borderId="0" xfId="0" applyFill="1" applyBorder="1" applyAlignment="1">
      <alignment horizontal="center" vertical="center" wrapText="1"/>
    </xf>
    <xf numFmtId="0" fontId="9" fillId="38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9" fontId="0" fillId="2" borderId="0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 wrapText="1"/>
    </xf>
    <xf numFmtId="9" fontId="0" fillId="38" borderId="0" xfId="0" applyNumberForma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3" fillId="4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63" fillId="38" borderId="0" xfId="0" applyFont="1" applyFill="1" applyAlignment="1">
      <alignment horizontal="center" vertical="center"/>
    </xf>
    <xf numFmtId="0" fontId="64" fillId="38" borderId="0" xfId="0" applyFont="1" applyFill="1" applyAlignment="1">
      <alignment horizontal="center" vertical="center"/>
    </xf>
    <xf numFmtId="9" fontId="64" fillId="38" borderId="0" xfId="57" applyFont="1" applyFill="1" applyAlignment="1">
      <alignment horizontal="center" vertical="center"/>
    </xf>
    <xf numFmtId="0" fontId="64" fillId="38" borderId="0" xfId="0" applyFont="1" applyFill="1" applyBorder="1" applyAlignment="1">
      <alignment horizontal="center" vertical="center"/>
    </xf>
    <xf numFmtId="9" fontId="0" fillId="38" borderId="0" xfId="57" applyFont="1" applyFill="1" applyBorder="1" applyAlignment="1">
      <alignment horizontal="center" vertical="center"/>
    </xf>
    <xf numFmtId="164" fontId="0" fillId="38" borderId="0" xfId="0" applyNumberFormat="1" applyFont="1" applyFill="1" applyBorder="1" applyAlignment="1">
      <alignment vertical="center" wrapText="1"/>
    </xf>
    <xf numFmtId="164" fontId="0" fillId="38" borderId="0" xfId="0" applyNumberFormat="1" applyFont="1" applyFill="1" applyBorder="1" applyAlignment="1">
      <alignment horizontal="center" vertical="center" wrapText="1"/>
    </xf>
    <xf numFmtId="165" fontId="64" fillId="38" borderId="0" xfId="57" applyNumberFormat="1" applyFont="1" applyFill="1" applyAlignment="1">
      <alignment horizontal="center" vertical="center"/>
    </xf>
    <xf numFmtId="165" fontId="0" fillId="38" borderId="0" xfId="57" applyNumberFormat="1" applyFont="1" applyFill="1" applyAlignment="1">
      <alignment horizontal="center" vertical="center"/>
    </xf>
    <xf numFmtId="165" fontId="0" fillId="38" borderId="0" xfId="0" applyNumberFormat="1" applyFill="1" applyAlignment="1">
      <alignment horizontal="center" vertical="center"/>
    </xf>
    <xf numFmtId="165" fontId="65" fillId="38" borderId="0" xfId="57" applyNumberFormat="1" applyFont="1" applyFill="1" applyAlignment="1">
      <alignment horizontal="center" vertical="center"/>
    </xf>
    <xf numFmtId="165" fontId="65" fillId="38" borderId="0" xfId="0" applyNumberFormat="1" applyFont="1" applyFill="1" applyAlignment="1">
      <alignment horizontal="center" vertical="center"/>
    </xf>
    <xf numFmtId="0" fontId="0" fillId="38" borderId="0" xfId="0" applyFill="1" applyBorder="1" applyAlignment="1">
      <alignment vertical="center"/>
    </xf>
    <xf numFmtId="49" fontId="64" fillId="38" borderId="0" xfId="0" applyNumberFormat="1" applyFont="1" applyFill="1" applyAlignment="1" quotePrefix="1">
      <alignment horizontal="center" vertical="center"/>
    </xf>
    <xf numFmtId="49" fontId="66" fillId="38" borderId="0" xfId="0" applyNumberFormat="1" applyFont="1" applyFill="1" applyAlignment="1" quotePrefix="1">
      <alignment horizontal="center" vertical="center"/>
    </xf>
    <xf numFmtId="9" fontId="67" fillId="38" borderId="0" xfId="0" applyNumberFormat="1" applyFont="1" applyFill="1" applyAlignment="1">
      <alignment horizontal="center" vertical="center"/>
    </xf>
    <xf numFmtId="0" fontId="63" fillId="38" borderId="0" xfId="0" applyFont="1" applyFill="1" applyAlignment="1">
      <alignment horizontal="left" vertical="center"/>
    </xf>
    <xf numFmtId="0" fontId="14" fillId="38" borderId="0" xfId="0" applyFont="1" applyFill="1" applyAlignment="1">
      <alignment horizontal="center" vertical="center"/>
    </xf>
    <xf numFmtId="0" fontId="0" fillId="38" borderId="0" xfId="0" applyFill="1" applyAlignment="1">
      <alignment vertical="center"/>
    </xf>
    <xf numFmtId="9" fontId="11" fillId="2" borderId="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0" fontId="3" fillId="0" borderId="12" xfId="57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57" applyNumberFormat="1" applyFont="1" applyFill="1" applyBorder="1" applyAlignment="1">
      <alignment vertical="top" wrapText="1"/>
    </xf>
    <xf numFmtId="0" fontId="2" fillId="39" borderId="12" xfId="0" applyNumberFormat="1" applyFont="1" applyFill="1" applyBorder="1" applyAlignment="1">
      <alignment vertical="top" wrapText="1"/>
    </xf>
    <xf numFmtId="0" fontId="3" fillId="37" borderId="1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39" borderId="10" xfId="0" applyNumberFormat="1" applyFont="1" applyFill="1" applyBorder="1" applyAlignment="1">
      <alignment vertical="top" wrapText="1"/>
    </xf>
    <xf numFmtId="0" fontId="2" fillId="39" borderId="15" xfId="0" applyNumberFormat="1" applyFont="1" applyFill="1" applyBorder="1" applyAlignment="1">
      <alignment vertical="top" wrapText="1"/>
    </xf>
    <xf numFmtId="0" fontId="2" fillId="37" borderId="12" xfId="0" applyNumberFormat="1" applyFont="1" applyFill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37" borderId="16" xfId="0" applyNumberFormat="1" applyFont="1" applyFill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2" borderId="0" xfId="57" applyNumberFormat="1" applyFont="1" applyFill="1" applyBorder="1" applyAlignment="1">
      <alignment horizontal="center" vertical="center"/>
    </xf>
    <xf numFmtId="0" fontId="0" fillId="38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57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38" borderId="0" xfId="0" applyNumberFormat="1" applyFill="1" applyBorder="1" applyAlignment="1">
      <alignment horizontal="center" vertical="center" wrapText="1"/>
    </xf>
    <xf numFmtId="0" fontId="0" fillId="38" borderId="0" xfId="0" applyNumberFormat="1" applyFill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38" borderId="0" xfId="0" applyFont="1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9" fontId="0" fillId="38" borderId="0" xfId="57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top" wrapText="1"/>
    </xf>
    <xf numFmtId="0" fontId="3" fillId="35" borderId="19" xfId="0" applyFont="1" applyFill="1" applyBorder="1" applyAlignment="1">
      <alignment vertical="top" wrapText="1"/>
    </xf>
    <xf numFmtId="0" fontId="3" fillId="35" borderId="18" xfId="0" applyFont="1" applyFill="1" applyBorder="1" applyAlignment="1">
      <alignment vertical="top" wrapText="1"/>
    </xf>
    <xf numFmtId="0" fontId="3" fillId="35" borderId="19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center" wrapText="1"/>
    </xf>
    <xf numFmtId="0" fontId="9" fillId="38" borderId="0" xfId="0" applyFont="1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/>
    </xf>
    <xf numFmtId="9" fontId="0" fillId="38" borderId="0" xfId="57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68" fillId="38" borderId="0" xfId="0" applyFont="1" applyFill="1" applyAlignment="1">
      <alignment horizontal="center" vertical="center"/>
    </xf>
    <xf numFmtId="0" fontId="69" fillId="38" borderId="0" xfId="0" applyFont="1" applyFill="1" applyAlignment="1">
      <alignment horizontal="center" vertical="center" wrapText="1"/>
    </xf>
    <xf numFmtId="0" fontId="69" fillId="38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35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35" borderId="20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38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2" borderId="0" xfId="57" applyNumberFormat="1" applyFont="1" applyFill="1" applyBorder="1" applyAlignment="1">
      <alignment horizontal="center" vertical="center"/>
    </xf>
    <xf numFmtId="0" fontId="21" fillId="41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37" borderId="10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6" borderId="1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9" fontId="3" fillId="0" borderId="12" xfId="0" applyNumberFormat="1" applyFont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2" fillId="39" borderId="16" xfId="0" applyNumberFormat="1" applyFont="1" applyFill="1" applyBorder="1" applyAlignment="1">
      <alignment vertical="top" wrapText="1"/>
    </xf>
    <xf numFmtId="9" fontId="3" fillId="0" borderId="16" xfId="0" applyNumberFormat="1" applyFont="1" applyBorder="1" applyAlignment="1">
      <alignment vertical="top" wrapText="1"/>
    </xf>
    <xf numFmtId="9" fontId="0" fillId="2" borderId="0" xfId="57" applyFont="1" applyFill="1" applyBorder="1" applyAlignment="1">
      <alignment horizontal="center" vertical="center"/>
    </xf>
    <xf numFmtId="9" fontId="0" fillId="2" borderId="0" xfId="57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2" borderId="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42" borderId="21" xfId="0" applyFont="1" applyFill="1" applyBorder="1" applyAlignment="1">
      <alignment vertical="top" wrapText="1"/>
    </xf>
    <xf numFmtId="0" fontId="2" fillId="42" borderId="23" xfId="0" applyFont="1" applyFill="1" applyBorder="1" applyAlignment="1">
      <alignment vertical="top" wrapText="1"/>
    </xf>
    <xf numFmtId="0" fontId="2" fillId="42" borderId="20" xfId="0" applyFont="1" applyFill="1" applyBorder="1" applyAlignment="1">
      <alignment vertical="top" wrapText="1"/>
    </xf>
    <xf numFmtId="0" fontId="2" fillId="42" borderId="14" xfId="0" applyFont="1" applyFill="1" applyBorder="1" applyAlignment="1">
      <alignment vertical="top" wrapText="1"/>
    </xf>
    <xf numFmtId="0" fontId="2" fillId="42" borderId="16" xfId="0" applyFont="1" applyFill="1" applyBorder="1" applyAlignment="1">
      <alignment vertical="top" wrapText="1"/>
    </xf>
    <xf numFmtId="0" fontId="2" fillId="42" borderId="12" xfId="0" applyFont="1" applyFill="1" applyBorder="1" applyAlignment="1">
      <alignment vertical="top" wrapText="1"/>
    </xf>
    <xf numFmtId="0" fontId="2" fillId="39" borderId="22" xfId="0" applyFont="1" applyFill="1" applyBorder="1" applyAlignment="1">
      <alignment horizontal="center" vertical="top" wrapText="1"/>
    </xf>
    <xf numFmtId="0" fontId="2" fillId="39" borderId="24" xfId="0" applyFont="1" applyFill="1" applyBorder="1" applyAlignment="1">
      <alignment horizontal="center" vertical="top" wrapText="1"/>
    </xf>
    <xf numFmtId="0" fontId="2" fillId="39" borderId="15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37" borderId="22" xfId="0" applyFont="1" applyFill="1" applyBorder="1" applyAlignment="1">
      <alignment vertical="top" wrapText="1"/>
    </xf>
    <xf numFmtId="0" fontId="2" fillId="37" borderId="15" xfId="0" applyFont="1" applyFill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35" borderId="20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35" borderId="19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42" borderId="19" xfId="0" applyFont="1" applyFill="1" applyBorder="1" applyAlignment="1">
      <alignment vertical="top" wrapText="1"/>
    </xf>
    <xf numFmtId="0" fontId="2" fillId="42" borderId="18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vertical="top" wrapText="1"/>
    </xf>
    <xf numFmtId="0" fontId="2" fillId="39" borderId="22" xfId="0" applyNumberFormat="1" applyFont="1" applyFill="1" applyBorder="1" applyAlignment="1">
      <alignment horizontal="center" vertical="top" wrapText="1"/>
    </xf>
    <xf numFmtId="0" fontId="2" fillId="39" borderId="24" xfId="0" applyNumberFormat="1" applyFont="1" applyFill="1" applyBorder="1" applyAlignment="1">
      <alignment horizontal="center" vertical="top" wrapText="1"/>
    </xf>
    <xf numFmtId="0" fontId="2" fillId="39" borderId="15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Border="1" applyAlignment="1">
      <alignment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2" fillId="39" borderId="21" xfId="0" applyFont="1" applyFill="1" applyBorder="1" applyAlignment="1">
      <alignment horizontal="center" vertical="top" wrapText="1"/>
    </xf>
    <xf numFmtId="0" fontId="2" fillId="39" borderId="23" xfId="0" applyFont="1" applyFill="1" applyBorder="1" applyAlignment="1">
      <alignment horizontal="center" vertical="top" wrapText="1"/>
    </xf>
    <xf numFmtId="0" fontId="2" fillId="39" borderId="20" xfId="0" applyFont="1" applyFill="1" applyBorder="1" applyAlignment="1">
      <alignment horizontal="center" vertical="top" wrapText="1"/>
    </xf>
    <xf numFmtId="0" fontId="3" fillId="43" borderId="21" xfId="0" applyNumberFormat="1" applyFont="1" applyFill="1" applyBorder="1" applyAlignment="1">
      <alignment horizontal="center" vertical="top" wrapText="1"/>
    </xf>
    <xf numFmtId="0" fontId="3" fillId="43" borderId="23" xfId="0" applyNumberFormat="1" applyFont="1" applyFill="1" applyBorder="1" applyAlignment="1">
      <alignment horizontal="center" vertical="top" wrapText="1"/>
    </xf>
    <xf numFmtId="0" fontId="3" fillId="43" borderId="20" xfId="0" applyNumberFormat="1" applyFont="1" applyFill="1" applyBorder="1" applyAlignment="1">
      <alignment horizontal="center" vertical="top" wrapText="1"/>
    </xf>
    <xf numFmtId="0" fontId="3" fillId="43" borderId="14" xfId="0" applyNumberFormat="1" applyFont="1" applyFill="1" applyBorder="1" applyAlignment="1">
      <alignment horizontal="center" vertical="top" wrapText="1"/>
    </xf>
    <xf numFmtId="0" fontId="3" fillId="43" borderId="16" xfId="0" applyNumberFormat="1" applyFont="1" applyFill="1" applyBorder="1" applyAlignment="1">
      <alignment horizontal="center" vertical="top" wrapText="1"/>
    </xf>
    <xf numFmtId="0" fontId="3" fillId="43" borderId="12" xfId="0" applyNumberFormat="1" applyFont="1" applyFill="1" applyBorder="1" applyAlignment="1">
      <alignment horizontal="center" vertical="top" wrapText="1"/>
    </xf>
    <xf numFmtId="0" fontId="25" fillId="35" borderId="20" xfId="0" applyFont="1" applyFill="1" applyBorder="1" applyAlignment="1">
      <alignment horizontal="left" vertical="top" wrapText="1"/>
    </xf>
    <xf numFmtId="0" fontId="25" fillId="35" borderId="17" xfId="0" applyFont="1" applyFill="1" applyBorder="1" applyAlignment="1">
      <alignment horizontal="left" vertical="top" wrapText="1"/>
    </xf>
    <xf numFmtId="0" fontId="25" fillId="35" borderId="25" xfId="0" applyFont="1" applyFill="1" applyBorder="1" applyAlignment="1">
      <alignment horizontal="left" vertical="top" wrapText="1"/>
    </xf>
    <xf numFmtId="0" fontId="22" fillId="0" borderId="19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22" fillId="0" borderId="19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0" fillId="38" borderId="0" xfId="0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70" fillId="38" borderId="0" xfId="0" applyFont="1" applyFill="1" applyAlignment="1">
      <alignment horizontal="center" wrapText="1"/>
    </xf>
    <xf numFmtId="0" fontId="13" fillId="4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8" fillId="38" borderId="0" xfId="0" applyFont="1" applyFill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 wrapText="1"/>
    </xf>
    <xf numFmtId="0" fontId="68" fillId="41" borderId="0" xfId="0" applyFont="1" applyFill="1" applyAlignment="1">
      <alignment horizontal="center" vertical="center"/>
    </xf>
    <xf numFmtId="0" fontId="27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 wrapText="1"/>
    </xf>
    <xf numFmtId="0" fontId="13" fillId="44" borderId="0" xfId="0" applyFont="1" applyFill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9" fontId="0" fillId="38" borderId="0" xfId="57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">
    <dxf>
      <font>
        <color theme="0"/>
      </font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rgb="FF99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6" tint="-0.4999699890613556"/>
        </patternFill>
      </fill>
    </dxf>
    <dxf>
      <font>
        <color theme="0"/>
      </font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rgb="FF99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ont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628650</xdr:rowOff>
    </xdr:from>
    <xdr:to>
      <xdr:col>4</xdr:col>
      <xdr:colOff>409575</xdr:colOff>
      <xdr:row>5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4048125" y="1495425"/>
          <a:ext cx="342900" cy="647700"/>
        </a:xfrm>
        <a:prstGeom prst="rightArrow">
          <a:avLst>
            <a:gd name="adj" fmla="val 26388"/>
          </a:avLst>
        </a:prstGeom>
        <a:solidFill>
          <a:srgbClr val="376092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628650</xdr:rowOff>
    </xdr:from>
    <xdr:to>
      <xdr:col>6</xdr:col>
      <xdr:colOff>438150</xdr:colOff>
      <xdr:row>5</xdr:row>
      <xdr:rowOff>466725</xdr:rowOff>
    </xdr:to>
    <xdr:sp>
      <xdr:nvSpPr>
        <xdr:cNvPr id="2" name="AutoShape 2"/>
        <xdr:cNvSpPr>
          <a:spLocks/>
        </xdr:cNvSpPr>
      </xdr:nvSpPr>
      <xdr:spPr>
        <a:xfrm>
          <a:off x="6467475" y="1495425"/>
          <a:ext cx="342900" cy="647700"/>
        </a:xfrm>
        <a:prstGeom prst="rightArrow">
          <a:avLst>
            <a:gd name="adj" fmla="val 26388"/>
          </a:avLst>
        </a:prstGeom>
        <a:solidFill>
          <a:srgbClr val="376092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zoomScale="75" zoomScaleNormal="75" zoomScalePageLayoutView="0" workbookViewId="0" topLeftCell="A20">
      <selection activeCell="B14" sqref="B14:B17"/>
    </sheetView>
  </sheetViews>
  <sheetFormatPr defaultColWidth="9.140625" defaultRowHeight="12.75" outlineLevelCol="1"/>
  <cols>
    <col min="1" max="1" width="30.7109375" style="0" customWidth="1"/>
    <col min="2" max="2" width="42.57421875" style="129" customWidth="1"/>
    <col min="3" max="3" width="20.7109375" style="0" customWidth="1"/>
    <col min="4" max="5" width="20.7109375" style="99" customWidth="1"/>
    <col min="6" max="6" width="20.7109375" style="99" hidden="1" customWidth="1" outlineLevel="1"/>
    <col min="7" max="7" width="20.7109375" style="99" customWidth="1" collapsed="1"/>
    <col min="8" max="8" width="30.7109375" style="0" customWidth="1"/>
    <col min="9" max="9" width="27.00390625" style="0" customWidth="1"/>
  </cols>
  <sheetData>
    <row r="1" spans="1:8" ht="13.5" thickBot="1">
      <c r="A1" s="1" t="s">
        <v>0</v>
      </c>
      <c r="B1" s="192" t="s">
        <v>111</v>
      </c>
      <c r="C1" s="208"/>
      <c r="D1" s="208"/>
      <c r="E1" s="208"/>
      <c r="F1" s="208"/>
      <c r="G1" s="208"/>
      <c r="H1" s="193"/>
    </row>
    <row r="2" spans="1:9" ht="13.5" thickBot="1">
      <c r="A2" s="2" t="s">
        <v>1</v>
      </c>
      <c r="B2" s="128" t="s">
        <v>23</v>
      </c>
      <c r="C2" s="3"/>
      <c r="D2" s="89" t="s">
        <v>65</v>
      </c>
      <c r="E2" s="89" t="s">
        <v>25</v>
      </c>
      <c r="F2" s="89" t="s">
        <v>66</v>
      </c>
      <c r="G2" s="89" t="s">
        <v>78</v>
      </c>
      <c r="H2" s="209"/>
      <c r="I2" s="49"/>
    </row>
    <row r="3" spans="1:8" ht="24" customHeight="1" thickBot="1">
      <c r="A3" s="230" t="s">
        <v>73</v>
      </c>
      <c r="B3" s="227" t="s">
        <v>74</v>
      </c>
      <c r="C3" s="4" t="s">
        <v>2</v>
      </c>
      <c r="D3" s="85"/>
      <c r="E3" s="85"/>
      <c r="F3" s="85"/>
      <c r="G3" s="85"/>
      <c r="H3" s="210"/>
    </row>
    <row r="4" spans="1:8" ht="13.5" thickBot="1">
      <c r="A4" s="231"/>
      <c r="B4" s="228"/>
      <c r="C4" s="6" t="s">
        <v>3</v>
      </c>
      <c r="D4" s="90"/>
      <c r="E4" s="88"/>
      <c r="F4" s="88"/>
      <c r="G4" s="88"/>
      <c r="H4" s="210"/>
    </row>
    <row r="5" spans="1:8" ht="12.75" customHeight="1" thickBot="1">
      <c r="A5" s="231"/>
      <c r="B5" s="228"/>
      <c r="C5" s="7"/>
      <c r="D5" s="212" t="s">
        <v>4</v>
      </c>
      <c r="E5" s="213"/>
      <c r="F5" s="213"/>
      <c r="G5" s="214"/>
      <c r="H5" s="210"/>
    </row>
    <row r="6" spans="1:8" ht="18.75" customHeight="1" thickBot="1">
      <c r="A6" s="231"/>
      <c r="B6" s="229"/>
      <c r="C6" s="9"/>
      <c r="D6" s="215"/>
      <c r="E6" s="216"/>
      <c r="F6" s="216"/>
      <c r="G6" s="217"/>
      <c r="H6" s="210"/>
    </row>
    <row r="7" spans="1:8" ht="13.5" thickBot="1">
      <c r="A7" s="231"/>
      <c r="B7" s="145" t="s">
        <v>24</v>
      </c>
      <c r="C7" s="3"/>
      <c r="D7" s="89" t="str">
        <f>D$2</f>
        <v>Baseline 2012</v>
      </c>
      <c r="E7" s="89" t="str">
        <f>E$2</f>
        <v>Milestone 2013</v>
      </c>
      <c r="F7" s="89" t="str">
        <f>F$2</f>
        <v>Milestone 2014</v>
      </c>
      <c r="G7" s="89" t="str">
        <f>G$2</f>
        <v>Target 2014</v>
      </c>
      <c r="H7" s="210"/>
    </row>
    <row r="8" spans="1:8" ht="13.5" thickBot="1">
      <c r="A8" s="231"/>
      <c r="B8" s="202" t="s">
        <v>114</v>
      </c>
      <c r="C8" s="4" t="s">
        <v>2</v>
      </c>
      <c r="D8" s="86"/>
      <c r="E8" s="86"/>
      <c r="F8" s="86"/>
      <c r="G8" s="86"/>
      <c r="H8" s="210"/>
    </row>
    <row r="9" spans="1:8" ht="13.5" thickBot="1">
      <c r="A9" s="231"/>
      <c r="B9" s="203"/>
      <c r="C9" s="6" t="s">
        <v>3</v>
      </c>
      <c r="D9" s="90"/>
      <c r="E9" s="87"/>
      <c r="F9" s="87"/>
      <c r="G9" s="87"/>
      <c r="H9" s="210"/>
    </row>
    <row r="10" spans="1:8" ht="13.5" thickBot="1">
      <c r="A10" s="231"/>
      <c r="B10" s="203"/>
      <c r="C10" s="7"/>
      <c r="D10" s="212" t="s">
        <v>4</v>
      </c>
      <c r="E10" s="213"/>
      <c r="F10" s="213"/>
      <c r="G10" s="214"/>
      <c r="H10" s="210"/>
    </row>
    <row r="11" spans="1:8" ht="13.5" customHeight="1" thickBot="1">
      <c r="A11" s="232"/>
      <c r="B11" s="161"/>
      <c r="C11" s="9"/>
      <c r="D11" s="215" t="s">
        <v>115</v>
      </c>
      <c r="E11" s="216"/>
      <c r="F11" s="216"/>
      <c r="G11" s="217"/>
      <c r="H11" s="211"/>
    </row>
    <row r="12" spans="1:8" ht="13.5" thickBot="1">
      <c r="A12" s="10"/>
      <c r="B12" s="131"/>
      <c r="C12" s="10"/>
      <c r="D12" s="91"/>
      <c r="E12" s="91"/>
      <c r="F12" s="91"/>
      <c r="G12" s="91"/>
      <c r="H12" s="10"/>
    </row>
    <row r="13" spans="1:8" ht="13.5" thickBot="1">
      <c r="A13" s="155" t="s">
        <v>5</v>
      </c>
      <c r="B13" s="156" t="s">
        <v>31</v>
      </c>
      <c r="C13" s="156"/>
      <c r="D13" s="92" t="str">
        <f>D$2</f>
        <v>Baseline 2012</v>
      </c>
      <c r="E13" s="93" t="str">
        <f>E$2</f>
        <v>Milestone 2013</v>
      </c>
      <c r="F13" s="93" t="str">
        <f>F$2</f>
        <v>Milestone 2014</v>
      </c>
      <c r="G13" s="93" t="str">
        <f>G$2</f>
        <v>Target 2014</v>
      </c>
      <c r="H13" s="157" t="s">
        <v>6</v>
      </c>
    </row>
    <row r="14" spans="1:9" ht="24.75" customHeight="1" thickBot="1">
      <c r="A14" s="233" t="s">
        <v>75</v>
      </c>
      <c r="B14" s="236" t="s">
        <v>76</v>
      </c>
      <c r="C14" s="149" t="s">
        <v>2</v>
      </c>
      <c r="D14" s="167">
        <v>0.95</v>
      </c>
      <c r="E14" s="167">
        <v>0.95</v>
      </c>
      <c r="F14" s="150"/>
      <c r="G14" s="170">
        <v>0.95</v>
      </c>
      <c r="H14" s="244"/>
      <c r="I14" s="239"/>
    </row>
    <row r="15" spans="1:9" ht="13.5" thickBot="1">
      <c r="A15" s="234"/>
      <c r="B15" s="237"/>
      <c r="C15" s="151" t="s">
        <v>3</v>
      </c>
      <c r="D15" s="152"/>
      <c r="E15" s="158"/>
      <c r="F15" s="158"/>
      <c r="G15" s="168"/>
      <c r="H15" s="245"/>
      <c r="I15" s="239"/>
    </row>
    <row r="16" spans="1:9" ht="16.5" customHeight="1" thickBot="1">
      <c r="A16" s="234"/>
      <c r="B16" s="237"/>
      <c r="C16" s="153"/>
      <c r="D16" s="184" t="s">
        <v>4</v>
      </c>
      <c r="E16" s="185"/>
      <c r="F16" s="185"/>
      <c r="G16" s="185"/>
      <c r="H16" s="245"/>
      <c r="I16" s="239"/>
    </row>
    <row r="17" spans="1:9" ht="21" customHeight="1" thickBot="1">
      <c r="A17" s="234"/>
      <c r="B17" s="238"/>
      <c r="C17" s="154"/>
      <c r="D17" s="187" t="s">
        <v>77</v>
      </c>
      <c r="E17" s="188"/>
      <c r="F17" s="188"/>
      <c r="G17" s="188"/>
      <c r="H17" s="245"/>
      <c r="I17" s="239"/>
    </row>
    <row r="18" spans="1:9" ht="13.5" thickBot="1">
      <c r="A18" s="234"/>
      <c r="B18" s="148" t="s">
        <v>32</v>
      </c>
      <c r="C18" s="148"/>
      <c r="D18" s="89" t="str">
        <f>D$2</f>
        <v>Baseline 2012</v>
      </c>
      <c r="E18" s="89" t="str">
        <f>E$2</f>
        <v>Milestone 2013</v>
      </c>
      <c r="F18" s="89" t="str">
        <f>F$2</f>
        <v>Milestone 2014</v>
      </c>
      <c r="G18" s="169" t="str">
        <f>G$2</f>
        <v>Target 2014</v>
      </c>
      <c r="H18" s="245"/>
      <c r="I18" s="239"/>
    </row>
    <row r="19" spans="1:9" ht="18" customHeight="1" thickBot="1">
      <c r="A19" s="234"/>
      <c r="B19" s="236" t="s">
        <v>80</v>
      </c>
      <c r="C19" s="149" t="s">
        <v>2</v>
      </c>
      <c r="D19" s="150" t="s">
        <v>79</v>
      </c>
      <c r="E19" s="150"/>
      <c r="F19" s="150"/>
      <c r="G19" s="162" t="s">
        <v>81</v>
      </c>
      <c r="H19" s="245"/>
      <c r="I19" s="239"/>
    </row>
    <row r="20" spans="1:9" ht="13.5" thickBot="1">
      <c r="A20" s="234"/>
      <c r="B20" s="237"/>
      <c r="C20" s="151" t="s">
        <v>3</v>
      </c>
      <c r="D20" s="152"/>
      <c r="E20" s="158"/>
      <c r="F20" s="158"/>
      <c r="G20" s="168"/>
      <c r="H20" s="245"/>
      <c r="I20" s="239"/>
    </row>
    <row r="21" spans="1:9" ht="13.5" thickBot="1">
      <c r="A21" s="234"/>
      <c r="B21" s="237"/>
      <c r="C21" s="163"/>
      <c r="D21" s="185" t="s">
        <v>4</v>
      </c>
      <c r="E21" s="185"/>
      <c r="F21" s="185"/>
      <c r="G21" s="185"/>
      <c r="H21" s="245"/>
      <c r="I21" s="239"/>
    </row>
    <row r="22" spans="1:9" ht="27.75" customHeight="1" thickBot="1">
      <c r="A22" s="234"/>
      <c r="B22" s="237"/>
      <c r="C22" s="159"/>
      <c r="D22" s="240" t="s">
        <v>85</v>
      </c>
      <c r="E22" s="241"/>
      <c r="F22" s="241"/>
      <c r="G22" s="242"/>
      <c r="H22" s="245"/>
      <c r="I22" s="239"/>
    </row>
    <row r="23" spans="1:9" ht="13.5" thickBot="1">
      <c r="A23" s="234"/>
      <c r="B23" s="146" t="s">
        <v>33</v>
      </c>
      <c r="C23" s="156"/>
      <c r="D23" s="89" t="str">
        <f>D$2</f>
        <v>Baseline 2012</v>
      </c>
      <c r="E23" s="89" t="str">
        <f>E$2</f>
        <v>Milestone 2013</v>
      </c>
      <c r="F23" s="89" t="str">
        <f>F$2</f>
        <v>Milestone 2014</v>
      </c>
      <c r="G23" s="169" t="str">
        <f>G$2</f>
        <v>Target 2014</v>
      </c>
      <c r="H23" s="245"/>
      <c r="I23" s="239"/>
    </row>
    <row r="24" spans="1:9" ht="12.75">
      <c r="A24" s="234"/>
      <c r="B24" s="259" t="s">
        <v>87</v>
      </c>
      <c r="C24" s="256" t="s">
        <v>2</v>
      </c>
      <c r="D24" s="252"/>
      <c r="E24" s="252"/>
      <c r="F24" s="252"/>
      <c r="G24" s="254"/>
      <c r="H24" s="245"/>
      <c r="I24" s="239"/>
    </row>
    <row r="25" spans="1:9" ht="13.5" thickBot="1">
      <c r="A25" s="234"/>
      <c r="B25" s="260"/>
      <c r="C25" s="257"/>
      <c r="D25" s="253"/>
      <c r="E25" s="253"/>
      <c r="F25" s="253"/>
      <c r="G25" s="255"/>
      <c r="H25" s="245"/>
      <c r="I25" s="239"/>
    </row>
    <row r="26" spans="1:9" ht="13.5" thickBot="1">
      <c r="A26" s="234"/>
      <c r="B26" s="260"/>
      <c r="C26" s="164" t="s">
        <v>3</v>
      </c>
      <c r="D26" s="152"/>
      <c r="E26" s="165"/>
      <c r="F26" s="165"/>
      <c r="G26" s="166"/>
      <c r="H26" s="245"/>
      <c r="I26" s="239"/>
    </row>
    <row r="27" spans="1:9" ht="13.5" thickBot="1">
      <c r="A27" s="234"/>
      <c r="B27" s="231"/>
      <c r="C27" s="160"/>
      <c r="D27" s="184" t="s">
        <v>4</v>
      </c>
      <c r="E27" s="258"/>
      <c r="F27" s="258"/>
      <c r="G27" s="258"/>
      <c r="H27" s="245"/>
      <c r="I27" s="239"/>
    </row>
    <row r="28" spans="1:9" ht="13.5" thickBot="1">
      <c r="A28" s="235"/>
      <c r="B28" s="232"/>
      <c r="C28" s="160"/>
      <c r="D28" s="240" t="s">
        <v>86</v>
      </c>
      <c r="E28" s="247"/>
      <c r="F28" s="247"/>
      <c r="G28" s="248"/>
      <c r="H28" s="246"/>
      <c r="I28" s="239"/>
    </row>
    <row r="29" spans="1:9" ht="13.5" thickBot="1">
      <c r="A29" s="176" t="s">
        <v>13</v>
      </c>
      <c r="B29" s="136" t="s">
        <v>14</v>
      </c>
      <c r="C29" s="15"/>
      <c r="D29" s="221"/>
      <c r="E29" s="222"/>
      <c r="F29" s="222"/>
      <c r="G29" s="222"/>
      <c r="H29" s="223"/>
      <c r="I29" s="239"/>
    </row>
    <row r="30" spans="1:9" ht="13.5" thickBot="1">
      <c r="A30" s="177"/>
      <c r="B30" s="137"/>
      <c r="C30" s="16"/>
      <c r="D30" s="224"/>
      <c r="E30" s="225"/>
      <c r="F30" s="225"/>
      <c r="G30" s="225"/>
      <c r="H30" s="226"/>
      <c r="I30" s="239"/>
    </row>
    <row r="31" spans="1:8" ht="13.5" thickBot="1">
      <c r="A31" s="10"/>
      <c r="B31" s="131"/>
      <c r="C31" s="10"/>
      <c r="D31" s="91"/>
      <c r="E31" s="91"/>
      <c r="F31" s="91"/>
      <c r="G31" s="91"/>
      <c r="H31" s="10"/>
    </row>
    <row r="32" spans="1:8" ht="13.5" thickBot="1">
      <c r="A32" s="114" t="s">
        <v>34</v>
      </c>
      <c r="B32" s="132" t="s">
        <v>18</v>
      </c>
      <c r="C32" s="17"/>
      <c r="D32" s="92" t="str">
        <f>D$2</f>
        <v>Baseline 2012</v>
      </c>
      <c r="E32" s="93" t="str">
        <f>E$2</f>
        <v>Milestone 2013</v>
      </c>
      <c r="F32" s="93" t="str">
        <f>F$2</f>
        <v>Milestone 2014</v>
      </c>
      <c r="G32" s="93" t="str">
        <f>G$2</f>
        <v>Target 2014</v>
      </c>
      <c r="H32" s="12" t="s">
        <v>15</v>
      </c>
    </row>
    <row r="33" spans="1:8" ht="24.75" customHeight="1" thickBot="1">
      <c r="A33" s="202" t="s">
        <v>83</v>
      </c>
      <c r="B33" s="197" t="s">
        <v>88</v>
      </c>
      <c r="C33" s="4" t="s">
        <v>2</v>
      </c>
      <c r="D33" s="86"/>
      <c r="E33" s="86"/>
      <c r="F33" s="86"/>
      <c r="G33" s="86"/>
      <c r="H33" s="199"/>
    </row>
    <row r="34" spans="1:8" ht="13.5" thickBot="1">
      <c r="A34" s="203"/>
      <c r="B34" s="243"/>
      <c r="C34" s="6" t="s">
        <v>3</v>
      </c>
      <c r="D34" s="90"/>
      <c r="E34" s="87"/>
      <c r="F34" s="87"/>
      <c r="G34" s="87"/>
      <c r="H34" s="200"/>
    </row>
    <row r="35" spans="1:8" ht="13.5" thickBot="1">
      <c r="A35" s="203"/>
      <c r="B35" s="134"/>
      <c r="C35" s="184" t="s">
        <v>4</v>
      </c>
      <c r="D35" s="185"/>
      <c r="E35" s="185"/>
      <c r="F35" s="185"/>
      <c r="G35" s="186"/>
      <c r="H35" s="200"/>
    </row>
    <row r="36" spans="1:8" ht="13.5" customHeight="1" thickBot="1">
      <c r="A36" s="203"/>
      <c r="B36" s="135"/>
      <c r="C36" s="187" t="s">
        <v>90</v>
      </c>
      <c r="D36" s="188"/>
      <c r="E36" s="188"/>
      <c r="F36" s="188"/>
      <c r="G36" s="189"/>
      <c r="H36" s="200"/>
    </row>
    <row r="37" spans="1:8" ht="13.5" thickBot="1">
      <c r="A37" s="203"/>
      <c r="B37" s="128" t="s">
        <v>19</v>
      </c>
      <c r="C37" s="3"/>
      <c r="D37" s="89" t="str">
        <f>D$2</f>
        <v>Baseline 2012</v>
      </c>
      <c r="E37" s="89" t="str">
        <f>E$2</f>
        <v>Milestone 2013</v>
      </c>
      <c r="F37" s="89" t="str">
        <f>F$2</f>
        <v>Milestone 2014</v>
      </c>
      <c r="G37" s="89" t="str">
        <f>G$2</f>
        <v>Target 2014</v>
      </c>
      <c r="H37" s="200"/>
    </row>
    <row r="38" spans="1:8" ht="24.75" thickBot="1">
      <c r="A38" s="203"/>
      <c r="B38" s="133" t="s">
        <v>89</v>
      </c>
      <c r="C38" s="18" t="s">
        <v>2</v>
      </c>
      <c r="D38" s="86"/>
      <c r="E38" s="86"/>
      <c r="F38" s="86"/>
      <c r="G38" s="86"/>
      <c r="H38" s="200"/>
    </row>
    <row r="39" spans="1:8" ht="13.5" thickBot="1">
      <c r="A39" s="203"/>
      <c r="B39" s="134"/>
      <c r="C39" s="4" t="s">
        <v>3</v>
      </c>
      <c r="D39" s="96"/>
      <c r="E39" s="87"/>
      <c r="F39" s="87"/>
      <c r="G39" s="87"/>
      <c r="H39" s="200"/>
    </row>
    <row r="40" spans="1:8" ht="13.5" thickBot="1">
      <c r="A40" s="203"/>
      <c r="B40" s="134"/>
      <c r="C40" s="218" t="s">
        <v>4</v>
      </c>
      <c r="D40" s="219"/>
      <c r="E40" s="219"/>
      <c r="F40" s="219"/>
      <c r="G40" s="220"/>
      <c r="H40" s="200"/>
    </row>
    <row r="41" spans="1:8" ht="13.5" thickBot="1">
      <c r="A41" s="203"/>
      <c r="B41" s="135"/>
      <c r="C41" s="187" t="s">
        <v>90</v>
      </c>
      <c r="D41" s="188"/>
      <c r="E41" s="188"/>
      <c r="F41" s="188"/>
      <c r="G41" s="189"/>
      <c r="H41" s="200"/>
    </row>
    <row r="42" spans="1:8" ht="13.5" thickBot="1">
      <c r="A42" s="203"/>
      <c r="B42" s="128" t="s">
        <v>20</v>
      </c>
      <c r="C42" s="3"/>
      <c r="D42" s="89" t="str">
        <f>D$2</f>
        <v>Baseline 2012</v>
      </c>
      <c r="E42" s="89" t="str">
        <f>E$2</f>
        <v>Milestone 2013</v>
      </c>
      <c r="F42" s="89" t="str">
        <f>F$2</f>
        <v>Milestone 2014</v>
      </c>
      <c r="G42" s="89" t="str">
        <f>G$2</f>
        <v>Target 2014</v>
      </c>
      <c r="H42" s="200"/>
    </row>
    <row r="43" spans="1:8" ht="13.5" thickBot="1">
      <c r="A43" s="203"/>
      <c r="B43" s="202" t="s">
        <v>91</v>
      </c>
      <c r="C43" s="18" t="s">
        <v>2</v>
      </c>
      <c r="D43" s="86"/>
      <c r="E43" s="86"/>
      <c r="F43" s="86"/>
      <c r="G43" s="86"/>
      <c r="H43" s="200"/>
    </row>
    <row r="44" spans="1:8" ht="13.5" thickBot="1">
      <c r="A44" s="203"/>
      <c r="B44" s="203"/>
      <c r="C44" s="4" t="s">
        <v>3</v>
      </c>
      <c r="D44" s="96"/>
      <c r="E44" s="87"/>
      <c r="F44" s="87"/>
      <c r="G44" s="87"/>
      <c r="H44" s="200"/>
    </row>
    <row r="45" spans="1:8" ht="13.5" thickBot="1">
      <c r="A45" s="203"/>
      <c r="B45" s="203"/>
      <c r="C45" s="218" t="s">
        <v>4</v>
      </c>
      <c r="D45" s="219"/>
      <c r="E45" s="219"/>
      <c r="F45" s="219"/>
      <c r="G45" s="220"/>
      <c r="H45" s="200"/>
    </row>
    <row r="46" spans="1:8" ht="13.5" thickBot="1">
      <c r="A46" s="204"/>
      <c r="B46" s="204"/>
      <c r="C46" s="194" t="s">
        <v>92</v>
      </c>
      <c r="D46" s="195"/>
      <c r="E46" s="195"/>
      <c r="F46" s="195"/>
      <c r="G46" s="196"/>
      <c r="H46" s="200"/>
    </row>
    <row r="47" spans="1:8" ht="13.5" thickBot="1">
      <c r="A47" s="2" t="s">
        <v>16</v>
      </c>
      <c r="B47" s="128" t="s">
        <v>67</v>
      </c>
      <c r="C47" s="3"/>
      <c r="D47" s="89" t="str">
        <f>D$2</f>
        <v>Baseline 2012</v>
      </c>
      <c r="E47" s="89" t="str">
        <f>E$2</f>
        <v>Milestone 2013</v>
      </c>
      <c r="F47" s="89" t="str">
        <f>F$2</f>
        <v>Milestone 2014</v>
      </c>
      <c r="G47" s="89" t="str">
        <f>G$2</f>
        <v>Target 2014</v>
      </c>
      <c r="H47" s="200"/>
    </row>
    <row r="48" spans="1:8" ht="15" customHeight="1" thickBot="1">
      <c r="A48" s="24">
        <v>0.3</v>
      </c>
      <c r="B48" s="202" t="s">
        <v>93</v>
      </c>
      <c r="C48" s="18" t="s">
        <v>2</v>
      </c>
      <c r="D48" s="86">
        <v>0</v>
      </c>
      <c r="E48" s="86"/>
      <c r="F48" s="86"/>
      <c r="G48" s="86"/>
      <c r="H48" s="200"/>
    </row>
    <row r="49" spans="1:8" ht="13.5" thickBot="1">
      <c r="A49" s="19"/>
      <c r="B49" s="203"/>
      <c r="C49" s="4" t="s">
        <v>3</v>
      </c>
      <c r="D49" s="96"/>
      <c r="E49" s="87"/>
      <c r="F49" s="87"/>
      <c r="G49" s="87"/>
      <c r="H49" s="201"/>
    </row>
    <row r="50" spans="1:8" ht="13.5" thickBot="1">
      <c r="A50" s="19"/>
      <c r="B50" s="203"/>
      <c r="C50" s="218" t="s">
        <v>4</v>
      </c>
      <c r="D50" s="219"/>
      <c r="E50" s="219"/>
      <c r="F50" s="219"/>
      <c r="G50" s="220"/>
      <c r="H50" s="20" t="s">
        <v>17</v>
      </c>
    </row>
    <row r="51" spans="1:8" ht="13.5" thickBot="1">
      <c r="A51" s="21"/>
      <c r="B51" s="204"/>
      <c r="C51" s="187" t="s">
        <v>90</v>
      </c>
      <c r="D51" s="188"/>
      <c r="E51" s="188"/>
      <c r="F51" s="188"/>
      <c r="G51" s="189"/>
      <c r="H51" s="5" t="s">
        <v>46</v>
      </c>
    </row>
    <row r="52" spans="1:8" ht="13.5" thickBot="1">
      <c r="A52" s="176" t="s">
        <v>7</v>
      </c>
      <c r="B52" s="136" t="s">
        <v>8</v>
      </c>
      <c r="C52" s="13"/>
      <c r="D52" s="94" t="s">
        <v>9</v>
      </c>
      <c r="E52" s="94" t="s">
        <v>10</v>
      </c>
      <c r="F52" s="94" t="s">
        <v>11</v>
      </c>
      <c r="G52" s="249" t="s">
        <v>12</v>
      </c>
      <c r="H52" s="191"/>
    </row>
    <row r="53" spans="1:8" ht="13.5" thickBot="1">
      <c r="A53" s="177"/>
      <c r="B53" s="137"/>
      <c r="C53" s="14"/>
      <c r="D53" s="95"/>
      <c r="E53" s="95"/>
      <c r="F53" s="95"/>
      <c r="G53" s="192"/>
      <c r="H53" s="193"/>
    </row>
    <row r="54" spans="1:8" ht="13.5" thickBot="1">
      <c r="A54" s="176" t="s">
        <v>13</v>
      </c>
      <c r="B54" s="136" t="s">
        <v>14</v>
      </c>
      <c r="C54" s="15"/>
      <c r="D54" s="178"/>
      <c r="E54" s="179"/>
      <c r="F54" s="179"/>
      <c r="G54" s="179"/>
      <c r="H54" s="180"/>
    </row>
    <row r="55" spans="1:8" ht="13.5" thickBot="1">
      <c r="A55" s="177"/>
      <c r="B55" s="137"/>
      <c r="C55" s="16"/>
      <c r="D55" s="181"/>
      <c r="E55" s="182"/>
      <c r="F55" s="182"/>
      <c r="G55" s="182"/>
      <c r="H55" s="183"/>
    </row>
    <row r="56" spans="1:8" ht="13.5" thickBot="1">
      <c r="A56" s="10"/>
      <c r="B56" s="131"/>
      <c r="C56" s="10"/>
      <c r="D56" s="91"/>
      <c r="E56" s="91"/>
      <c r="F56" s="91"/>
      <c r="G56" s="91"/>
      <c r="H56" s="10"/>
    </row>
    <row r="57" spans="1:8" ht="13.5" thickBot="1">
      <c r="A57" s="114" t="s">
        <v>35</v>
      </c>
      <c r="B57" s="132" t="s">
        <v>26</v>
      </c>
      <c r="C57" s="11"/>
      <c r="D57" s="92" t="str">
        <f>D$2</f>
        <v>Baseline 2012</v>
      </c>
      <c r="E57" s="93" t="str">
        <f>E$2</f>
        <v>Milestone 2013</v>
      </c>
      <c r="F57" s="93" t="str">
        <f>F$2</f>
        <v>Milestone 2014</v>
      </c>
      <c r="G57" s="93" t="str">
        <f>G$2</f>
        <v>Target 2014</v>
      </c>
      <c r="H57" s="12" t="s">
        <v>6</v>
      </c>
    </row>
    <row r="58" spans="1:8" ht="29.25" customHeight="1" thickBot="1">
      <c r="A58" s="202" t="s">
        <v>82</v>
      </c>
      <c r="B58" s="202" t="s">
        <v>94</v>
      </c>
      <c r="C58" s="4" t="s">
        <v>2</v>
      </c>
      <c r="D58" s="86"/>
      <c r="E58" s="86"/>
      <c r="F58" s="86"/>
      <c r="G58" s="86"/>
      <c r="H58" s="199"/>
    </row>
    <row r="59" spans="1:8" ht="13.5" thickBot="1">
      <c r="A59" s="250"/>
      <c r="B59" s="203"/>
      <c r="C59" s="22" t="s">
        <v>3</v>
      </c>
      <c r="D59" s="90"/>
      <c r="E59" s="97"/>
      <c r="F59" s="97"/>
      <c r="G59" s="97"/>
      <c r="H59" s="200"/>
    </row>
    <row r="60" spans="1:8" ht="13.5" thickBot="1">
      <c r="A60" s="250"/>
      <c r="B60" s="203"/>
      <c r="C60" s="184" t="s">
        <v>4</v>
      </c>
      <c r="D60" s="185"/>
      <c r="E60" s="185"/>
      <c r="F60" s="185"/>
      <c r="G60" s="186"/>
      <c r="H60" s="200"/>
    </row>
    <row r="61" spans="1:8" ht="13.5" customHeight="1" thickBot="1">
      <c r="A61" s="250"/>
      <c r="B61" s="204"/>
      <c r="C61" s="187" t="s">
        <v>95</v>
      </c>
      <c r="D61" s="188"/>
      <c r="E61" s="188"/>
      <c r="F61" s="188"/>
      <c r="G61" s="189"/>
      <c r="H61" s="200"/>
    </row>
    <row r="62" spans="1:8" ht="13.5" thickBot="1">
      <c r="A62" s="250"/>
      <c r="B62" s="128" t="s">
        <v>21</v>
      </c>
      <c r="C62" s="3"/>
      <c r="D62" s="89" t="str">
        <f>D$2</f>
        <v>Baseline 2012</v>
      </c>
      <c r="E62" s="89" t="str">
        <f>E$2</f>
        <v>Milestone 2013</v>
      </c>
      <c r="F62" s="89" t="str">
        <f>F$2</f>
        <v>Milestone 2014</v>
      </c>
      <c r="G62" s="89" t="str">
        <f>G$2</f>
        <v>Target 2014</v>
      </c>
      <c r="H62" s="200"/>
    </row>
    <row r="63" spans="1:8" ht="13.5" customHeight="1" thickBot="1">
      <c r="A63" s="250"/>
      <c r="B63" s="202" t="s">
        <v>96</v>
      </c>
      <c r="C63" s="18" t="s">
        <v>2</v>
      </c>
      <c r="D63" s="86"/>
      <c r="E63" s="86"/>
      <c r="F63" s="86"/>
      <c r="G63" s="86"/>
      <c r="H63" s="200"/>
    </row>
    <row r="64" spans="1:8" ht="13.5" thickBot="1">
      <c r="A64" s="250"/>
      <c r="B64" s="203"/>
      <c r="C64" s="4" t="s">
        <v>3</v>
      </c>
      <c r="D64" s="96"/>
      <c r="E64" s="97"/>
      <c r="F64" s="97"/>
      <c r="G64" s="97"/>
      <c r="H64" s="200"/>
    </row>
    <row r="65" spans="1:8" ht="13.5" thickBot="1">
      <c r="A65" s="250"/>
      <c r="B65" s="203"/>
      <c r="C65" s="184" t="s">
        <v>4</v>
      </c>
      <c r="D65" s="185"/>
      <c r="E65" s="185"/>
      <c r="F65" s="185"/>
      <c r="G65" s="186"/>
      <c r="H65" s="200"/>
    </row>
    <row r="66" spans="1:8" ht="13.5" thickBot="1">
      <c r="A66" s="250"/>
      <c r="B66" s="204"/>
      <c r="C66" s="187" t="s">
        <v>95</v>
      </c>
      <c r="D66" s="188"/>
      <c r="E66" s="188"/>
      <c r="F66" s="188"/>
      <c r="G66" s="189"/>
      <c r="H66" s="200"/>
    </row>
    <row r="67" spans="1:8" ht="13.5" thickBot="1">
      <c r="A67" s="250"/>
      <c r="B67" s="128" t="s">
        <v>22</v>
      </c>
      <c r="C67" s="3"/>
      <c r="D67" s="89" t="str">
        <f>D$2</f>
        <v>Baseline 2012</v>
      </c>
      <c r="E67" s="89" t="str">
        <f>E$2</f>
        <v>Milestone 2013</v>
      </c>
      <c r="F67" s="89" t="str">
        <f>F$2</f>
        <v>Milestone 2014</v>
      </c>
      <c r="G67" s="89" t="str">
        <f>G$2</f>
        <v>Target 2014</v>
      </c>
      <c r="H67" s="200"/>
    </row>
    <row r="68" spans="1:8" ht="13.5" customHeight="1" thickBot="1">
      <c r="A68" s="250"/>
      <c r="B68" s="202" t="s">
        <v>97</v>
      </c>
      <c r="C68" s="18" t="s">
        <v>2</v>
      </c>
      <c r="D68" s="86"/>
      <c r="E68" s="86"/>
      <c r="F68" s="86"/>
      <c r="G68" s="86"/>
      <c r="H68" s="200"/>
    </row>
    <row r="69" spans="1:8" ht="13.5" thickBot="1">
      <c r="A69" s="250"/>
      <c r="B69" s="203"/>
      <c r="C69" s="4" t="s">
        <v>3</v>
      </c>
      <c r="D69" s="96"/>
      <c r="E69" s="97"/>
      <c r="F69" s="97"/>
      <c r="G69" s="97"/>
      <c r="H69" s="200"/>
    </row>
    <row r="70" spans="1:8" ht="13.5" thickBot="1">
      <c r="A70" s="250"/>
      <c r="B70" s="203"/>
      <c r="C70" s="184" t="s">
        <v>4</v>
      </c>
      <c r="D70" s="185"/>
      <c r="E70" s="185"/>
      <c r="F70" s="185"/>
      <c r="G70" s="186"/>
      <c r="H70" s="200"/>
    </row>
    <row r="71" spans="1:8" ht="13.5" thickBot="1">
      <c r="A71" s="251"/>
      <c r="B71" s="204"/>
      <c r="C71" s="187" t="s">
        <v>98</v>
      </c>
      <c r="D71" s="188"/>
      <c r="E71" s="188"/>
      <c r="F71" s="188"/>
      <c r="G71" s="189"/>
      <c r="H71" s="200"/>
    </row>
    <row r="72" spans="1:8" ht="13.5" thickBot="1">
      <c r="A72" s="2" t="s">
        <v>16</v>
      </c>
      <c r="B72" s="128" t="s">
        <v>68</v>
      </c>
      <c r="C72" s="3"/>
      <c r="D72" s="89" t="str">
        <f>D$2</f>
        <v>Baseline 2012</v>
      </c>
      <c r="E72" s="89" t="str">
        <f>E$2</f>
        <v>Milestone 2013</v>
      </c>
      <c r="F72" s="89" t="str">
        <f>F$2</f>
        <v>Milestone 2014</v>
      </c>
      <c r="G72" s="89" t="str">
        <f>G$2</f>
        <v>Target 2014</v>
      </c>
      <c r="H72" s="200"/>
    </row>
    <row r="73" spans="1:8" ht="13.5" thickBot="1">
      <c r="A73" s="24">
        <v>0.3</v>
      </c>
      <c r="B73" s="202" t="s">
        <v>99</v>
      </c>
      <c r="C73" s="23" t="s">
        <v>2</v>
      </c>
      <c r="D73" s="98"/>
      <c r="E73" s="86"/>
      <c r="F73" s="86"/>
      <c r="G73" s="86"/>
      <c r="H73" s="200"/>
    </row>
    <row r="74" spans="1:8" ht="13.5" thickBot="1">
      <c r="A74" s="19"/>
      <c r="B74" s="203"/>
      <c r="C74" s="4" t="s">
        <v>3</v>
      </c>
      <c r="D74" s="90"/>
      <c r="E74" s="97"/>
      <c r="F74" s="97"/>
      <c r="G74" s="97"/>
      <c r="H74" s="201"/>
    </row>
    <row r="75" spans="1:8" ht="13.5" thickBot="1">
      <c r="A75" s="19"/>
      <c r="B75" s="203"/>
      <c r="C75" s="184" t="s">
        <v>4</v>
      </c>
      <c r="D75" s="185"/>
      <c r="E75" s="185"/>
      <c r="F75" s="185"/>
      <c r="G75" s="186"/>
      <c r="H75" s="20" t="s">
        <v>17</v>
      </c>
    </row>
    <row r="76" spans="1:8" ht="13.5" thickBot="1">
      <c r="A76" s="21"/>
      <c r="B76" s="204"/>
      <c r="C76" s="187"/>
      <c r="D76" s="188"/>
      <c r="E76" s="188"/>
      <c r="F76" s="188"/>
      <c r="G76" s="189"/>
      <c r="H76" s="5" t="s">
        <v>46</v>
      </c>
    </row>
    <row r="77" spans="1:8" ht="13.5" thickBot="1">
      <c r="A77" s="176" t="s">
        <v>7</v>
      </c>
      <c r="B77" s="136" t="s">
        <v>8</v>
      </c>
      <c r="C77" s="13"/>
      <c r="D77" s="94" t="s">
        <v>9</v>
      </c>
      <c r="E77" s="94" t="s">
        <v>10</v>
      </c>
      <c r="F77" s="94" t="s">
        <v>11</v>
      </c>
      <c r="G77" s="190" t="s">
        <v>12</v>
      </c>
      <c r="H77" s="191"/>
    </row>
    <row r="78" spans="1:8" ht="13.5" thickBot="1">
      <c r="A78" s="177"/>
      <c r="B78" s="137"/>
      <c r="C78" s="14"/>
      <c r="D78" s="95"/>
      <c r="E78" s="95"/>
      <c r="F78" s="95"/>
      <c r="G78" s="192"/>
      <c r="H78" s="193"/>
    </row>
    <row r="79" spans="1:8" ht="13.5" thickBot="1">
      <c r="A79" s="176" t="s">
        <v>13</v>
      </c>
      <c r="B79" s="136" t="s">
        <v>14</v>
      </c>
      <c r="C79" s="15"/>
      <c r="D79" s="178"/>
      <c r="E79" s="179"/>
      <c r="F79" s="179"/>
      <c r="G79" s="179"/>
      <c r="H79" s="180"/>
    </row>
    <row r="80" spans="1:8" ht="13.5" thickBot="1">
      <c r="A80" s="177"/>
      <c r="B80" s="137"/>
      <c r="C80" s="16"/>
      <c r="D80" s="181"/>
      <c r="E80" s="182"/>
      <c r="F80" s="182"/>
      <c r="G80" s="182"/>
      <c r="H80" s="183"/>
    </row>
    <row r="81" ht="13.5" thickBot="1"/>
    <row r="82" spans="1:8" ht="13.5" thickBot="1">
      <c r="A82" s="114" t="s">
        <v>36</v>
      </c>
      <c r="B82" s="132" t="s">
        <v>37</v>
      </c>
      <c r="C82" s="11"/>
      <c r="D82" s="92" t="str">
        <f>D$2</f>
        <v>Baseline 2012</v>
      </c>
      <c r="E82" s="93" t="str">
        <f>E$2</f>
        <v>Milestone 2013</v>
      </c>
      <c r="F82" s="93" t="str">
        <f>F$2</f>
        <v>Milestone 2014</v>
      </c>
      <c r="G82" s="93" t="str">
        <f>G$2</f>
        <v>Target 2014</v>
      </c>
      <c r="H82" s="12" t="s">
        <v>6</v>
      </c>
    </row>
    <row r="83" spans="1:8" ht="16.5" customHeight="1" thickBot="1">
      <c r="A83" s="202" t="s">
        <v>84</v>
      </c>
      <c r="B83" s="202" t="s">
        <v>100</v>
      </c>
      <c r="C83" s="4" t="s">
        <v>2</v>
      </c>
      <c r="D83" s="86"/>
      <c r="E83" s="86"/>
      <c r="F83" s="86"/>
      <c r="G83" s="86"/>
      <c r="H83" s="199"/>
    </row>
    <row r="84" spans="1:8" ht="13.5" thickBot="1">
      <c r="A84" s="203"/>
      <c r="B84" s="203"/>
      <c r="C84" s="22" t="s">
        <v>3</v>
      </c>
      <c r="D84" s="90"/>
      <c r="E84" s="97"/>
      <c r="F84" s="97"/>
      <c r="G84" s="97"/>
      <c r="H84" s="200"/>
    </row>
    <row r="85" spans="1:8" ht="13.5" thickBot="1">
      <c r="A85" s="203"/>
      <c r="B85" s="203"/>
      <c r="C85" s="184" t="s">
        <v>4</v>
      </c>
      <c r="D85" s="185"/>
      <c r="E85" s="185"/>
      <c r="F85" s="185"/>
      <c r="G85" s="186"/>
      <c r="H85" s="200"/>
    </row>
    <row r="86" spans="1:8" ht="13.5" customHeight="1" thickBot="1">
      <c r="A86" s="203"/>
      <c r="B86" s="204"/>
      <c r="C86" s="187" t="s">
        <v>90</v>
      </c>
      <c r="D86" s="188"/>
      <c r="E86" s="188"/>
      <c r="F86" s="188"/>
      <c r="G86" s="189"/>
      <c r="H86" s="200"/>
    </row>
    <row r="87" spans="1:8" ht="13.5" thickBot="1">
      <c r="A87" s="203"/>
      <c r="B87" s="128" t="s">
        <v>38</v>
      </c>
      <c r="C87" s="3"/>
      <c r="D87" s="89" t="str">
        <f>D$2</f>
        <v>Baseline 2012</v>
      </c>
      <c r="E87" s="89" t="str">
        <f>E$2</f>
        <v>Milestone 2013</v>
      </c>
      <c r="F87" s="89" t="str">
        <f>F$2</f>
        <v>Milestone 2014</v>
      </c>
      <c r="G87" s="89" t="str">
        <f>G$2</f>
        <v>Target 2014</v>
      </c>
      <c r="H87" s="200"/>
    </row>
    <row r="88" spans="1:8" ht="13.5" customHeight="1" thickBot="1">
      <c r="A88" s="203"/>
      <c r="B88" s="202" t="s">
        <v>102</v>
      </c>
      <c r="C88" s="18" t="s">
        <v>2</v>
      </c>
      <c r="D88" s="86"/>
      <c r="E88" s="86"/>
      <c r="F88" s="86"/>
      <c r="G88" s="86"/>
      <c r="H88" s="200"/>
    </row>
    <row r="89" spans="1:8" ht="13.5" thickBot="1">
      <c r="A89" s="203"/>
      <c r="B89" s="203"/>
      <c r="C89" s="4" t="s">
        <v>3</v>
      </c>
      <c r="D89" s="96"/>
      <c r="E89" s="97"/>
      <c r="F89" s="97"/>
      <c r="G89" s="97"/>
      <c r="H89" s="200"/>
    </row>
    <row r="90" spans="1:8" ht="13.5" thickBot="1">
      <c r="A90" s="203"/>
      <c r="B90" s="203"/>
      <c r="C90" s="184" t="s">
        <v>4</v>
      </c>
      <c r="D90" s="185"/>
      <c r="E90" s="185"/>
      <c r="F90" s="185"/>
      <c r="G90" s="186"/>
      <c r="H90" s="200"/>
    </row>
    <row r="91" spans="1:8" ht="13.5" thickBot="1">
      <c r="A91" s="203"/>
      <c r="B91" s="204"/>
      <c r="C91" s="187" t="s">
        <v>101</v>
      </c>
      <c r="D91" s="188"/>
      <c r="E91" s="188"/>
      <c r="F91" s="188"/>
      <c r="G91" s="189"/>
      <c r="H91" s="200"/>
    </row>
    <row r="92" spans="1:8" ht="13.5" thickBot="1">
      <c r="A92" s="203"/>
      <c r="B92" s="128" t="s">
        <v>39</v>
      </c>
      <c r="C92" s="3"/>
      <c r="D92" s="89" t="str">
        <f>D$2</f>
        <v>Baseline 2012</v>
      </c>
      <c r="E92" s="89" t="str">
        <f>E$2</f>
        <v>Milestone 2013</v>
      </c>
      <c r="F92" s="89" t="str">
        <f>F$2</f>
        <v>Milestone 2014</v>
      </c>
      <c r="G92" s="89" t="str">
        <f>G$2</f>
        <v>Target 2014</v>
      </c>
      <c r="H92" s="200"/>
    </row>
    <row r="93" spans="1:8" ht="13.5" customHeight="1" thickBot="1">
      <c r="A93" s="203"/>
      <c r="B93" s="197"/>
      <c r="C93" s="18" t="s">
        <v>2</v>
      </c>
      <c r="D93" s="86"/>
      <c r="E93" s="86"/>
      <c r="F93" s="86"/>
      <c r="G93" s="86"/>
      <c r="H93" s="200"/>
    </row>
    <row r="94" spans="1:8" ht="13.5" thickBot="1">
      <c r="A94" s="203"/>
      <c r="B94" s="198"/>
      <c r="C94" s="4" t="s">
        <v>3</v>
      </c>
      <c r="D94" s="96"/>
      <c r="E94" s="97"/>
      <c r="F94" s="97"/>
      <c r="G94" s="97"/>
      <c r="H94" s="200"/>
    </row>
    <row r="95" spans="1:8" ht="13.5" thickBot="1">
      <c r="A95" s="203"/>
      <c r="B95" s="134"/>
      <c r="C95" s="184" t="s">
        <v>4</v>
      </c>
      <c r="D95" s="185"/>
      <c r="E95" s="185"/>
      <c r="F95" s="185"/>
      <c r="G95" s="186"/>
      <c r="H95" s="200"/>
    </row>
    <row r="96" spans="1:8" ht="13.5" thickBot="1">
      <c r="A96" s="204"/>
      <c r="B96" s="135"/>
      <c r="C96" s="194"/>
      <c r="D96" s="195"/>
      <c r="E96" s="195"/>
      <c r="F96" s="195"/>
      <c r="G96" s="196"/>
      <c r="H96" s="200"/>
    </row>
    <row r="97" spans="1:8" ht="13.5" thickBot="1">
      <c r="A97" s="2" t="s">
        <v>16</v>
      </c>
      <c r="B97" s="128" t="s">
        <v>69</v>
      </c>
      <c r="C97" s="3"/>
      <c r="D97" s="89" t="str">
        <f>D$2</f>
        <v>Baseline 2012</v>
      </c>
      <c r="E97" s="89" t="str">
        <f>E$2</f>
        <v>Milestone 2013</v>
      </c>
      <c r="F97" s="89" t="str">
        <f>F$2</f>
        <v>Milestone 2014</v>
      </c>
      <c r="G97" s="89" t="str">
        <f>G$2</f>
        <v>Target 2014</v>
      </c>
      <c r="H97" s="200"/>
    </row>
    <row r="98" spans="1:8" ht="13.5" thickBot="1">
      <c r="A98" s="24">
        <v>0.3</v>
      </c>
      <c r="B98" s="117"/>
      <c r="C98" s="23" t="s">
        <v>2</v>
      </c>
      <c r="D98" s="98"/>
      <c r="E98" s="86"/>
      <c r="F98" s="86"/>
      <c r="G98" s="86"/>
      <c r="H98" s="200"/>
    </row>
    <row r="99" spans="1:8" ht="13.5" thickBot="1">
      <c r="A99" s="19"/>
      <c r="B99" s="118"/>
      <c r="C99" s="4" t="s">
        <v>3</v>
      </c>
      <c r="D99" s="90"/>
      <c r="E99" s="97"/>
      <c r="F99" s="97"/>
      <c r="G99" s="97"/>
      <c r="H99" s="201"/>
    </row>
    <row r="100" spans="1:8" ht="13.5" thickBot="1">
      <c r="A100" s="19"/>
      <c r="B100" s="118"/>
      <c r="C100" s="184" t="s">
        <v>4</v>
      </c>
      <c r="D100" s="185"/>
      <c r="E100" s="185"/>
      <c r="F100" s="185"/>
      <c r="G100" s="186"/>
      <c r="H100" s="20" t="s">
        <v>17</v>
      </c>
    </row>
    <row r="101" spans="1:8" ht="13.5" thickBot="1">
      <c r="A101" s="21"/>
      <c r="B101" s="130"/>
      <c r="C101" s="187"/>
      <c r="D101" s="188"/>
      <c r="E101" s="188"/>
      <c r="F101" s="188"/>
      <c r="G101" s="189"/>
      <c r="H101" s="5" t="s">
        <v>27</v>
      </c>
    </row>
    <row r="102" spans="1:8" ht="13.5" thickBot="1">
      <c r="A102" s="176" t="s">
        <v>7</v>
      </c>
      <c r="B102" s="136" t="s">
        <v>8</v>
      </c>
      <c r="C102" s="13"/>
      <c r="D102" s="94" t="s">
        <v>9</v>
      </c>
      <c r="E102" s="94" t="s">
        <v>10</v>
      </c>
      <c r="F102" s="94" t="s">
        <v>11</v>
      </c>
      <c r="G102" s="190" t="s">
        <v>12</v>
      </c>
      <c r="H102" s="191"/>
    </row>
    <row r="103" spans="1:8" ht="13.5" thickBot="1">
      <c r="A103" s="177"/>
      <c r="B103" s="137"/>
      <c r="C103" s="14"/>
      <c r="D103" s="95"/>
      <c r="E103" s="95"/>
      <c r="F103" s="95"/>
      <c r="G103" s="192"/>
      <c r="H103" s="193"/>
    </row>
    <row r="104" spans="1:8" ht="13.5" thickBot="1">
      <c r="A104" s="176" t="s">
        <v>13</v>
      </c>
      <c r="B104" s="136" t="s">
        <v>14</v>
      </c>
      <c r="C104" s="15"/>
      <c r="D104" s="178"/>
      <c r="E104" s="179"/>
      <c r="F104" s="179"/>
      <c r="G104" s="179"/>
      <c r="H104" s="180"/>
    </row>
    <row r="105" spans="1:8" ht="13.5" thickBot="1">
      <c r="A105" s="177"/>
      <c r="B105" s="137"/>
      <c r="C105" s="16"/>
      <c r="D105" s="181"/>
      <c r="E105" s="182"/>
      <c r="F105" s="182"/>
      <c r="G105" s="182"/>
      <c r="H105" s="183"/>
    </row>
    <row r="106" ht="13.5" thickBot="1"/>
    <row r="107" spans="1:8" ht="13.5" thickBot="1">
      <c r="A107" s="114" t="s">
        <v>50</v>
      </c>
      <c r="B107" s="132" t="s">
        <v>51</v>
      </c>
      <c r="C107" s="11"/>
      <c r="D107" s="92" t="str">
        <f>D$2</f>
        <v>Baseline 2012</v>
      </c>
      <c r="E107" s="93" t="str">
        <f>E$2</f>
        <v>Milestone 2013</v>
      </c>
      <c r="F107" s="93" t="str">
        <f>F$2</f>
        <v>Milestone 2014</v>
      </c>
      <c r="G107" s="93" t="str">
        <f>G$2</f>
        <v>Target 2014</v>
      </c>
      <c r="H107" s="12" t="s">
        <v>6</v>
      </c>
    </row>
    <row r="108" spans="1:8" ht="24.75" customHeight="1" thickBot="1">
      <c r="A108" s="202" t="s">
        <v>103</v>
      </c>
      <c r="B108" s="202" t="s">
        <v>110</v>
      </c>
      <c r="C108" s="4" t="s">
        <v>2</v>
      </c>
      <c r="D108" s="86">
        <v>0</v>
      </c>
      <c r="E108" s="86">
        <v>3</v>
      </c>
      <c r="F108" s="86"/>
      <c r="G108" s="86">
        <v>4</v>
      </c>
      <c r="H108" s="199"/>
    </row>
    <row r="109" spans="1:8" ht="13.5" thickBot="1">
      <c r="A109" s="203"/>
      <c r="B109" s="203"/>
      <c r="C109" s="22" t="s">
        <v>3</v>
      </c>
      <c r="D109" s="90"/>
      <c r="E109" s="97"/>
      <c r="F109" s="97"/>
      <c r="G109" s="97"/>
      <c r="H109" s="200"/>
    </row>
    <row r="110" spans="1:8" ht="13.5" thickBot="1">
      <c r="A110" s="203"/>
      <c r="B110" s="203"/>
      <c r="C110" s="184" t="s">
        <v>4</v>
      </c>
      <c r="D110" s="185"/>
      <c r="E110" s="185"/>
      <c r="F110" s="185"/>
      <c r="G110" s="186"/>
      <c r="H110" s="200"/>
    </row>
    <row r="111" spans="1:8" ht="13.5" customHeight="1" thickBot="1">
      <c r="A111" s="203"/>
      <c r="B111" s="204"/>
      <c r="C111" s="187" t="s">
        <v>112</v>
      </c>
      <c r="D111" s="188"/>
      <c r="E111" s="188"/>
      <c r="F111" s="188"/>
      <c r="G111" s="189"/>
      <c r="H111" s="200"/>
    </row>
    <row r="112" spans="1:8" ht="13.5" thickBot="1">
      <c r="A112" s="203"/>
      <c r="B112" s="128" t="s">
        <v>52</v>
      </c>
      <c r="C112" s="3"/>
      <c r="D112" s="89" t="str">
        <f>D$2</f>
        <v>Baseline 2012</v>
      </c>
      <c r="E112" s="89" t="str">
        <f>E$2</f>
        <v>Milestone 2013</v>
      </c>
      <c r="F112" s="89" t="str">
        <f>F$2</f>
        <v>Milestone 2014</v>
      </c>
      <c r="G112" s="89" t="str">
        <f>G$2</f>
        <v>Target 2014</v>
      </c>
      <c r="H112" s="200"/>
    </row>
    <row r="113" spans="1:8" ht="13.5" customHeight="1" thickBot="1">
      <c r="A113" s="203"/>
      <c r="B113" s="202" t="s">
        <v>109</v>
      </c>
      <c r="C113" s="18" t="s">
        <v>2</v>
      </c>
      <c r="D113" s="86"/>
      <c r="E113" s="86"/>
      <c r="F113" s="86"/>
      <c r="G113" s="86"/>
      <c r="H113" s="200"/>
    </row>
    <row r="114" spans="1:8" ht="13.5" thickBot="1">
      <c r="A114" s="203"/>
      <c r="B114" s="203"/>
      <c r="C114" s="4" t="s">
        <v>3</v>
      </c>
      <c r="D114" s="96"/>
      <c r="E114" s="97"/>
      <c r="F114" s="97"/>
      <c r="G114" s="97"/>
      <c r="H114" s="200"/>
    </row>
    <row r="115" spans="1:8" ht="13.5" thickBot="1">
      <c r="A115" s="203"/>
      <c r="B115" s="203"/>
      <c r="C115" s="184" t="s">
        <v>4</v>
      </c>
      <c r="D115" s="185"/>
      <c r="E115" s="185"/>
      <c r="F115" s="185"/>
      <c r="G115" s="186"/>
      <c r="H115" s="200"/>
    </row>
    <row r="116" spans="1:8" ht="13.5" thickBot="1">
      <c r="A116" s="203"/>
      <c r="B116" s="204"/>
      <c r="C116" s="187" t="s">
        <v>90</v>
      </c>
      <c r="D116" s="188"/>
      <c r="E116" s="188"/>
      <c r="F116" s="188"/>
      <c r="G116" s="189"/>
      <c r="H116" s="200"/>
    </row>
    <row r="117" spans="1:8" ht="13.5" thickBot="1">
      <c r="A117" s="203"/>
      <c r="B117" s="128" t="s">
        <v>53</v>
      </c>
      <c r="C117" s="3"/>
      <c r="D117" s="89" t="str">
        <f>D$2</f>
        <v>Baseline 2012</v>
      </c>
      <c r="E117" s="89" t="str">
        <f>E$2</f>
        <v>Milestone 2013</v>
      </c>
      <c r="F117" s="89" t="str">
        <f>F$2</f>
        <v>Milestone 2014</v>
      </c>
      <c r="G117" s="89" t="str">
        <f>G$2</f>
        <v>Target 2014</v>
      </c>
      <c r="H117" s="200"/>
    </row>
    <row r="118" spans="1:8" ht="13.5" customHeight="1" thickBot="1">
      <c r="A118" s="203"/>
      <c r="B118" s="205"/>
      <c r="C118" s="18" t="s">
        <v>2</v>
      </c>
      <c r="D118" s="86"/>
      <c r="E118" s="86"/>
      <c r="F118" s="86"/>
      <c r="G118" s="86"/>
      <c r="H118" s="200"/>
    </row>
    <row r="119" spans="1:8" ht="13.5" thickBot="1">
      <c r="A119" s="203"/>
      <c r="B119" s="206"/>
      <c r="C119" s="4" t="s">
        <v>3</v>
      </c>
      <c r="D119" s="96"/>
      <c r="E119" s="97"/>
      <c r="F119" s="97"/>
      <c r="G119" s="97"/>
      <c r="H119" s="200"/>
    </row>
    <row r="120" spans="1:8" ht="13.5" thickBot="1">
      <c r="A120" s="203"/>
      <c r="B120" s="206"/>
      <c r="C120" s="184" t="s">
        <v>4</v>
      </c>
      <c r="D120" s="185"/>
      <c r="E120" s="185"/>
      <c r="F120" s="185"/>
      <c r="G120" s="186"/>
      <c r="H120" s="200"/>
    </row>
    <row r="121" spans="1:8" ht="13.5" thickBot="1">
      <c r="A121" s="204"/>
      <c r="B121" s="207"/>
      <c r="C121" s="194"/>
      <c r="D121" s="195"/>
      <c r="E121" s="195"/>
      <c r="F121" s="195"/>
      <c r="G121" s="196"/>
      <c r="H121" s="200"/>
    </row>
    <row r="122" spans="1:8" ht="13.5" thickBot="1">
      <c r="A122" s="147" t="s">
        <v>16</v>
      </c>
      <c r="B122" s="128" t="s">
        <v>70</v>
      </c>
      <c r="C122" s="3"/>
      <c r="D122" s="89" t="str">
        <f>D$2</f>
        <v>Baseline 2012</v>
      </c>
      <c r="E122" s="89" t="str">
        <f>E$2</f>
        <v>Milestone 2013</v>
      </c>
      <c r="F122" s="89" t="str">
        <f>F$2</f>
        <v>Milestone 2014</v>
      </c>
      <c r="G122" s="89" t="str">
        <f>G$2</f>
        <v>Target 2014</v>
      </c>
      <c r="H122" s="200"/>
    </row>
    <row r="123" spans="1:8" ht="13.5" thickBot="1">
      <c r="A123" s="24">
        <v>0.1</v>
      </c>
      <c r="B123" s="117"/>
      <c r="C123" s="23" t="s">
        <v>2</v>
      </c>
      <c r="D123" s="98"/>
      <c r="E123" s="86"/>
      <c r="F123" s="86"/>
      <c r="G123" s="86"/>
      <c r="H123" s="200"/>
    </row>
    <row r="124" spans="1:8" ht="13.5" thickBot="1">
      <c r="A124" s="19"/>
      <c r="B124" s="118"/>
      <c r="C124" s="4" t="s">
        <v>3</v>
      </c>
      <c r="D124" s="90"/>
      <c r="E124" s="97"/>
      <c r="F124" s="97"/>
      <c r="G124" s="97"/>
      <c r="H124" s="201"/>
    </row>
    <row r="125" spans="1:8" ht="13.5" thickBot="1">
      <c r="A125" s="19"/>
      <c r="B125" s="118"/>
      <c r="C125" s="184" t="s">
        <v>4</v>
      </c>
      <c r="D125" s="185"/>
      <c r="E125" s="185"/>
      <c r="F125" s="185"/>
      <c r="G125" s="186"/>
      <c r="H125" s="20" t="s">
        <v>17</v>
      </c>
    </row>
    <row r="126" spans="1:8" ht="13.5" thickBot="1">
      <c r="A126" s="21"/>
      <c r="B126" s="130"/>
      <c r="C126" s="187"/>
      <c r="D126" s="188"/>
      <c r="E126" s="188"/>
      <c r="F126" s="188"/>
      <c r="G126" s="189"/>
      <c r="H126" s="5" t="s">
        <v>27</v>
      </c>
    </row>
    <row r="127" spans="1:8" ht="13.5" thickBot="1">
      <c r="A127" s="176" t="s">
        <v>7</v>
      </c>
      <c r="B127" s="136" t="s">
        <v>8</v>
      </c>
      <c r="C127" s="13"/>
      <c r="D127" s="94" t="s">
        <v>9</v>
      </c>
      <c r="E127" s="94" t="s">
        <v>10</v>
      </c>
      <c r="F127" s="94" t="s">
        <v>11</v>
      </c>
      <c r="G127" s="190" t="s">
        <v>12</v>
      </c>
      <c r="H127" s="191"/>
    </row>
    <row r="128" spans="1:8" ht="13.5" thickBot="1">
      <c r="A128" s="177"/>
      <c r="B128" s="137"/>
      <c r="C128" s="14"/>
      <c r="D128" s="95"/>
      <c r="E128" s="95"/>
      <c r="F128" s="95"/>
      <c r="G128" s="192"/>
      <c r="H128" s="193"/>
    </row>
    <row r="129" spans="1:8" ht="13.5" thickBot="1">
      <c r="A129" s="176" t="s">
        <v>13</v>
      </c>
      <c r="B129" s="136" t="s">
        <v>14</v>
      </c>
      <c r="C129" s="15"/>
      <c r="D129" s="178"/>
      <c r="E129" s="179"/>
      <c r="F129" s="179"/>
      <c r="G129" s="179"/>
      <c r="H129" s="180"/>
    </row>
    <row r="130" spans="1:8" ht="13.5" thickBot="1">
      <c r="A130" s="177"/>
      <c r="B130" s="137"/>
      <c r="C130" s="16"/>
      <c r="D130" s="181"/>
      <c r="E130" s="182"/>
      <c r="F130" s="182"/>
      <c r="G130" s="182"/>
      <c r="H130" s="183"/>
    </row>
    <row r="131" ht="13.5" thickBot="1"/>
    <row r="132" spans="1:8" ht="13.5" thickBot="1">
      <c r="A132" s="114" t="s">
        <v>61</v>
      </c>
      <c r="B132" s="132" t="s">
        <v>62</v>
      </c>
      <c r="C132" s="11"/>
      <c r="D132" s="92" t="str">
        <f>D$2</f>
        <v>Baseline 2012</v>
      </c>
      <c r="E132" s="93" t="str">
        <f>E$2</f>
        <v>Milestone 2013</v>
      </c>
      <c r="F132" s="93" t="str">
        <f>F$2</f>
        <v>Milestone 2014</v>
      </c>
      <c r="G132" s="93" t="str">
        <f>G$2</f>
        <v>Target 2014</v>
      </c>
      <c r="H132" s="12" t="s">
        <v>6</v>
      </c>
    </row>
    <row r="133" spans="1:8" ht="36.75" customHeight="1" thickBot="1">
      <c r="A133" s="115"/>
      <c r="B133" s="133"/>
      <c r="C133" s="4" t="s">
        <v>2</v>
      </c>
      <c r="D133" s="86"/>
      <c r="E133" s="86"/>
      <c r="F133" s="86"/>
      <c r="G133" s="86"/>
      <c r="H133" s="199"/>
    </row>
    <row r="134" spans="1:8" ht="13.5" thickBot="1">
      <c r="A134" s="116"/>
      <c r="B134" s="134"/>
      <c r="C134" s="22" t="s">
        <v>3</v>
      </c>
      <c r="D134" s="90"/>
      <c r="E134" s="97"/>
      <c r="F134" s="97"/>
      <c r="G134" s="97"/>
      <c r="H134" s="200"/>
    </row>
    <row r="135" spans="1:8" ht="13.5" thickBot="1">
      <c r="A135" s="116"/>
      <c r="B135" s="134"/>
      <c r="C135" s="184" t="s">
        <v>4</v>
      </c>
      <c r="D135" s="185"/>
      <c r="E135" s="185"/>
      <c r="F135" s="185"/>
      <c r="G135" s="186"/>
      <c r="H135" s="200"/>
    </row>
    <row r="136" spans="1:8" ht="13.5" customHeight="1" thickBot="1">
      <c r="A136" s="116"/>
      <c r="B136" s="135"/>
      <c r="C136" s="194"/>
      <c r="D136" s="195"/>
      <c r="E136" s="195"/>
      <c r="F136" s="195"/>
      <c r="G136" s="196"/>
      <c r="H136" s="200"/>
    </row>
    <row r="137" spans="1:8" ht="13.5" thickBot="1">
      <c r="A137" s="116"/>
      <c r="B137" s="128" t="s">
        <v>63</v>
      </c>
      <c r="C137" s="3"/>
      <c r="D137" s="89" t="str">
        <f>D$2</f>
        <v>Baseline 2012</v>
      </c>
      <c r="E137" s="89" t="str">
        <f>E$2</f>
        <v>Milestone 2013</v>
      </c>
      <c r="F137" s="89" t="str">
        <f>F$2</f>
        <v>Milestone 2014</v>
      </c>
      <c r="G137" s="89" t="str">
        <f>G$2</f>
        <v>Target 2014</v>
      </c>
      <c r="H137" s="200"/>
    </row>
    <row r="138" spans="1:8" ht="13.5" customHeight="1" thickBot="1">
      <c r="A138" s="116"/>
      <c r="B138" s="197"/>
      <c r="C138" s="18" t="s">
        <v>2</v>
      </c>
      <c r="D138" s="86"/>
      <c r="E138" s="86"/>
      <c r="F138" s="86"/>
      <c r="G138" s="86"/>
      <c r="H138" s="200"/>
    </row>
    <row r="139" spans="1:8" ht="13.5" thickBot="1">
      <c r="A139" s="116"/>
      <c r="B139" s="198"/>
      <c r="C139" s="4" t="s">
        <v>3</v>
      </c>
      <c r="D139" s="96"/>
      <c r="E139" s="97"/>
      <c r="F139" s="97"/>
      <c r="G139" s="97"/>
      <c r="H139" s="200"/>
    </row>
    <row r="140" spans="1:8" ht="13.5" thickBot="1">
      <c r="A140" s="116"/>
      <c r="B140" s="134"/>
      <c r="C140" s="184" t="s">
        <v>4</v>
      </c>
      <c r="D140" s="185"/>
      <c r="E140" s="185"/>
      <c r="F140" s="185"/>
      <c r="G140" s="186"/>
      <c r="H140" s="200"/>
    </row>
    <row r="141" spans="1:8" ht="13.5" thickBot="1">
      <c r="A141" s="116"/>
      <c r="B141" s="135"/>
      <c r="C141" s="194"/>
      <c r="D141" s="195"/>
      <c r="E141" s="195"/>
      <c r="F141" s="195"/>
      <c r="G141" s="196"/>
      <c r="H141" s="200"/>
    </row>
    <row r="142" spans="1:8" ht="13.5" thickBot="1">
      <c r="A142" s="116"/>
      <c r="B142" s="128" t="s">
        <v>64</v>
      </c>
      <c r="C142" s="3"/>
      <c r="D142" s="89" t="str">
        <f>D$2</f>
        <v>Baseline 2012</v>
      </c>
      <c r="E142" s="89" t="str">
        <f>E$2</f>
        <v>Milestone 2013</v>
      </c>
      <c r="F142" s="89" t="str">
        <f>F$2</f>
        <v>Milestone 2014</v>
      </c>
      <c r="G142" s="89" t="str">
        <f>G$2</f>
        <v>Target 2014</v>
      </c>
      <c r="H142" s="200"/>
    </row>
    <row r="143" spans="1:8" ht="13.5" customHeight="1" thickBot="1">
      <c r="A143" s="116"/>
      <c r="B143" s="197"/>
      <c r="C143" s="18" t="s">
        <v>2</v>
      </c>
      <c r="D143" s="86"/>
      <c r="E143" s="86"/>
      <c r="F143" s="86"/>
      <c r="G143" s="86"/>
      <c r="H143" s="200"/>
    </row>
    <row r="144" spans="1:8" ht="13.5" thickBot="1">
      <c r="A144" s="116"/>
      <c r="B144" s="198"/>
      <c r="C144" s="4" t="s">
        <v>3</v>
      </c>
      <c r="D144" s="96"/>
      <c r="E144" s="97"/>
      <c r="F144" s="97"/>
      <c r="G144" s="97"/>
      <c r="H144" s="200"/>
    </row>
    <row r="145" spans="1:8" ht="13.5" thickBot="1">
      <c r="A145" s="116"/>
      <c r="B145" s="134"/>
      <c r="C145" s="184" t="s">
        <v>4</v>
      </c>
      <c r="D145" s="185"/>
      <c r="E145" s="185"/>
      <c r="F145" s="185"/>
      <c r="G145" s="186"/>
      <c r="H145" s="200"/>
    </row>
    <row r="146" spans="1:8" ht="13.5" thickBot="1">
      <c r="A146" s="8"/>
      <c r="B146" s="135"/>
      <c r="C146" s="194"/>
      <c r="D146" s="195"/>
      <c r="E146" s="195"/>
      <c r="F146" s="195"/>
      <c r="G146" s="196"/>
      <c r="H146" s="200"/>
    </row>
    <row r="147" spans="1:8" ht="13.5" thickBot="1">
      <c r="A147" s="84" t="s">
        <v>16</v>
      </c>
      <c r="B147" s="128" t="s">
        <v>71</v>
      </c>
      <c r="C147" s="3"/>
      <c r="D147" s="89" t="str">
        <f>D$2</f>
        <v>Baseline 2012</v>
      </c>
      <c r="E147" s="89" t="str">
        <f>E$2</f>
        <v>Milestone 2013</v>
      </c>
      <c r="F147" s="89" t="str">
        <f>F$2</f>
        <v>Milestone 2014</v>
      </c>
      <c r="G147" s="89" t="str">
        <f>G$2</f>
        <v>Target 2014</v>
      </c>
      <c r="H147" s="200"/>
    </row>
    <row r="148" spans="1:8" ht="13.5" thickBot="1">
      <c r="A148" s="24"/>
      <c r="B148" s="117"/>
      <c r="C148" s="23" t="s">
        <v>2</v>
      </c>
      <c r="D148" s="98"/>
      <c r="E148" s="86"/>
      <c r="F148" s="86"/>
      <c r="G148" s="86"/>
      <c r="H148" s="200"/>
    </row>
    <row r="149" spans="1:8" ht="13.5" thickBot="1">
      <c r="A149" s="19"/>
      <c r="B149" s="118"/>
      <c r="C149" s="4" t="s">
        <v>3</v>
      </c>
      <c r="D149" s="90"/>
      <c r="E149" s="97"/>
      <c r="F149" s="97"/>
      <c r="G149" s="97"/>
      <c r="H149" s="201"/>
    </row>
    <row r="150" spans="1:8" ht="13.5" thickBot="1">
      <c r="A150" s="19"/>
      <c r="B150" s="118"/>
      <c r="C150" s="184" t="s">
        <v>4</v>
      </c>
      <c r="D150" s="185"/>
      <c r="E150" s="185"/>
      <c r="F150" s="185"/>
      <c r="G150" s="186"/>
      <c r="H150" s="20" t="s">
        <v>17</v>
      </c>
    </row>
    <row r="151" spans="1:8" ht="13.5" thickBot="1">
      <c r="A151" s="21"/>
      <c r="B151" s="130"/>
      <c r="C151" s="187"/>
      <c r="D151" s="188"/>
      <c r="E151" s="188"/>
      <c r="F151" s="188"/>
      <c r="G151" s="189"/>
      <c r="H151" s="5"/>
    </row>
    <row r="152" spans="1:8" ht="13.5" thickBot="1">
      <c r="A152" s="176" t="s">
        <v>7</v>
      </c>
      <c r="B152" s="136" t="s">
        <v>8</v>
      </c>
      <c r="C152" s="13"/>
      <c r="D152" s="94" t="s">
        <v>9</v>
      </c>
      <c r="E152" s="94" t="s">
        <v>10</v>
      </c>
      <c r="F152" s="94" t="s">
        <v>11</v>
      </c>
      <c r="G152" s="190" t="s">
        <v>12</v>
      </c>
      <c r="H152" s="191"/>
    </row>
    <row r="153" spans="1:8" ht="13.5" thickBot="1">
      <c r="A153" s="177"/>
      <c r="B153" s="137"/>
      <c r="C153" s="14"/>
      <c r="D153" s="95"/>
      <c r="E153" s="95"/>
      <c r="F153" s="95"/>
      <c r="G153" s="192"/>
      <c r="H153" s="193"/>
    </row>
    <row r="154" spans="1:8" ht="13.5" thickBot="1">
      <c r="A154" s="176" t="s">
        <v>13</v>
      </c>
      <c r="B154" s="136" t="s">
        <v>14</v>
      </c>
      <c r="C154" s="15"/>
      <c r="D154" s="178"/>
      <c r="E154" s="179"/>
      <c r="F154" s="179"/>
      <c r="G154" s="179"/>
      <c r="H154" s="180"/>
    </row>
    <row r="155" spans="1:8" ht="13.5" thickBot="1">
      <c r="A155" s="177"/>
      <c r="B155" s="137"/>
      <c r="C155" s="16"/>
      <c r="D155" s="181"/>
      <c r="E155" s="182"/>
      <c r="F155" s="182"/>
      <c r="G155" s="182"/>
      <c r="H155" s="183"/>
    </row>
  </sheetData>
  <sheetProtection/>
  <mergeCells count="117">
    <mergeCell ref="A33:A46"/>
    <mergeCell ref="A58:A71"/>
    <mergeCell ref="B43:B46"/>
    <mergeCell ref="B48:B51"/>
    <mergeCell ref="B68:B71"/>
    <mergeCell ref="B63:B66"/>
    <mergeCell ref="B58:B61"/>
    <mergeCell ref="D21:G21"/>
    <mergeCell ref="F24:F25"/>
    <mergeCell ref="G24:G25"/>
    <mergeCell ref="D24:D25"/>
    <mergeCell ref="E24:E25"/>
    <mergeCell ref="C24:C25"/>
    <mergeCell ref="D27:G27"/>
    <mergeCell ref="B24:B28"/>
    <mergeCell ref="I14:I30"/>
    <mergeCell ref="C90:G90"/>
    <mergeCell ref="C91:G91"/>
    <mergeCell ref="D22:G22"/>
    <mergeCell ref="D17:G17"/>
    <mergeCell ref="G53:H53"/>
    <mergeCell ref="B33:B34"/>
    <mergeCell ref="C86:G86"/>
    <mergeCell ref="C60:G60"/>
    <mergeCell ref="C61:G61"/>
    <mergeCell ref="C65:G65"/>
    <mergeCell ref="C66:G66"/>
    <mergeCell ref="C35:G35"/>
    <mergeCell ref="H14:H28"/>
    <mergeCell ref="D28:G28"/>
    <mergeCell ref="G52:H52"/>
    <mergeCell ref="B1:H1"/>
    <mergeCell ref="H2:H11"/>
    <mergeCell ref="D5:G5"/>
    <mergeCell ref="D6:G6"/>
    <mergeCell ref="D10:G10"/>
    <mergeCell ref="D11:G11"/>
    <mergeCell ref="A54:A55"/>
    <mergeCell ref="C41:G41"/>
    <mergeCell ref="C50:G50"/>
    <mergeCell ref="C40:G40"/>
    <mergeCell ref="C45:G45"/>
    <mergeCell ref="C46:G46"/>
    <mergeCell ref="C36:G36"/>
    <mergeCell ref="D29:H30"/>
    <mergeCell ref="C51:G51"/>
    <mergeCell ref="H33:H49"/>
    <mergeCell ref="A29:A30"/>
    <mergeCell ref="B3:B6"/>
    <mergeCell ref="A3:A11"/>
    <mergeCell ref="D16:G16"/>
    <mergeCell ref="A14:A28"/>
    <mergeCell ref="B14:B17"/>
    <mergeCell ref="B19:B22"/>
    <mergeCell ref="B8:B10"/>
    <mergeCell ref="A79:A80"/>
    <mergeCell ref="D79:H80"/>
    <mergeCell ref="C75:G75"/>
    <mergeCell ref="C76:G76"/>
    <mergeCell ref="A77:A78"/>
    <mergeCell ref="A52:A53"/>
    <mergeCell ref="D54:H55"/>
    <mergeCell ref="A104:A105"/>
    <mergeCell ref="G78:H78"/>
    <mergeCell ref="D104:H105"/>
    <mergeCell ref="C100:G100"/>
    <mergeCell ref="G103:H103"/>
    <mergeCell ref="C85:G85"/>
    <mergeCell ref="H58:H74"/>
    <mergeCell ref="H83:H99"/>
    <mergeCell ref="A83:A96"/>
    <mergeCell ref="B73:B76"/>
    <mergeCell ref="B83:B86"/>
    <mergeCell ref="A102:A103"/>
    <mergeCell ref="G102:H102"/>
    <mergeCell ref="C70:G70"/>
    <mergeCell ref="C71:G71"/>
    <mergeCell ref="A129:A130"/>
    <mergeCell ref="D129:H130"/>
    <mergeCell ref="G77:H77"/>
    <mergeCell ref="C125:G125"/>
    <mergeCell ref="C126:G126"/>
    <mergeCell ref="A127:A128"/>
    <mergeCell ref="G127:H127"/>
    <mergeCell ref="G128:H128"/>
    <mergeCell ref="C115:G115"/>
    <mergeCell ref="C116:G116"/>
    <mergeCell ref="H108:H124"/>
    <mergeCell ref="C120:G120"/>
    <mergeCell ref="C121:G121"/>
    <mergeCell ref="C110:G110"/>
    <mergeCell ref="C111:G111"/>
    <mergeCell ref="A108:A121"/>
    <mergeCell ref="B108:B111"/>
    <mergeCell ref="B118:B121"/>
    <mergeCell ref="B113:B116"/>
    <mergeCell ref="C101:G101"/>
    <mergeCell ref="B88:B91"/>
    <mergeCell ref="B93:B94"/>
    <mergeCell ref="C95:G95"/>
    <mergeCell ref="C96:G96"/>
    <mergeCell ref="A154:A155"/>
    <mergeCell ref="D154:H155"/>
    <mergeCell ref="C150:G150"/>
    <mergeCell ref="C151:G151"/>
    <mergeCell ref="A152:A153"/>
    <mergeCell ref="G152:H152"/>
    <mergeCell ref="G153:H153"/>
    <mergeCell ref="C135:G135"/>
    <mergeCell ref="C136:G136"/>
    <mergeCell ref="B138:B139"/>
    <mergeCell ref="C140:G140"/>
    <mergeCell ref="C141:G141"/>
    <mergeCell ref="C146:G146"/>
    <mergeCell ref="H133:H149"/>
    <mergeCell ref="B143:B144"/>
    <mergeCell ref="C145:G145"/>
  </mergeCells>
  <dataValidations count="1">
    <dataValidation type="list" allowBlank="1" showInputMessage="1" showErrorMessage="1" sqref="H51 H151 H76 H101 H126">
      <formula1>Risk_Rating</formula1>
    </dataValidation>
  </dataValidations>
  <printOptions/>
  <pageMargins left="0.75" right="0.75" top="0.71" bottom="1" header="0.5" footer="0.5"/>
  <pageSetup fitToHeight="2" fitToWidth="1" horizontalDpi="600" verticalDpi="600" orientation="landscape" paperSize="9" scale="43" r:id="rId1"/>
  <headerFooter alignWithMargins="0">
    <oddFooter>&amp;LUpdated January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5" sqref="C5"/>
    </sheetView>
  </sheetViews>
  <sheetFormatPr defaultColWidth="9.140625" defaultRowHeight="12.75" outlineLevelRow="1"/>
  <cols>
    <col min="1" max="1" width="13.57421875" style="33" customWidth="1"/>
    <col min="2" max="2" width="3.7109375" style="33" customWidth="1"/>
    <col min="3" max="3" width="33.57421875" style="36" customWidth="1"/>
    <col min="4" max="4" width="8.8515625" style="36" customWidth="1"/>
    <col min="5" max="5" width="7.00390625" style="33" customWidth="1"/>
    <col min="6" max="6" width="28.8515625" style="33" customWidth="1"/>
    <col min="7" max="7" width="7.421875" style="33" customWidth="1"/>
    <col min="8" max="8" width="22.7109375" style="33" customWidth="1"/>
    <col min="9" max="16384" width="9.140625" style="33" customWidth="1"/>
  </cols>
  <sheetData>
    <row r="1" spans="3:8" ht="12.75">
      <c r="C1" s="34"/>
      <c r="D1" s="34"/>
      <c r="E1" s="35"/>
      <c r="F1" s="35"/>
      <c r="G1" s="35"/>
      <c r="H1" s="35"/>
    </row>
    <row r="2" spans="3:8" ht="15.75">
      <c r="C2" s="264" t="str">
        <f>PROJECT_NAME</f>
        <v>Information, Counselling and Legal Assistance for the protection of Palestinians affected by or at risk of displacement</v>
      </c>
      <c r="D2" s="264"/>
      <c r="E2" s="264"/>
      <c r="F2" s="264"/>
      <c r="G2" s="264"/>
      <c r="H2" s="264"/>
    </row>
    <row r="4" spans="2:8" ht="27" customHeight="1">
      <c r="B4" s="265" t="s">
        <v>28</v>
      </c>
      <c r="C4" s="265"/>
      <c r="D4" s="265"/>
      <c r="E4" s="61"/>
      <c r="F4" s="62" t="s">
        <v>5</v>
      </c>
      <c r="G4" s="61"/>
      <c r="H4" s="62" t="s">
        <v>1</v>
      </c>
    </row>
    <row r="5" spans="2:8" s="82" customFormat="1" ht="63.75">
      <c r="B5" s="54">
        <v>1</v>
      </c>
      <c r="C5" s="54" t="str">
        <f>OUTPUT_1</f>
        <v>Emergency Legal Response - Provision of emergency legal counselling to Palestinians at risk of displacement in Area C, East Jerusalem and Gaza.  </v>
      </c>
      <c r="D5" s="57">
        <f>IMPACT_WEIGHTING_1</f>
        <v>0.3</v>
      </c>
      <c r="E5" s="76"/>
      <c r="F5" s="266" t="str">
        <f>OUTCOME</f>
        <v>Palestinians at risk of displacement within the oPt are better able to uphold their housing land and property rights through provision of legal aid services and increased access to justice .</v>
      </c>
      <c r="G5" s="76"/>
      <c r="H5" s="266" t="str">
        <f>IMPACT</f>
        <v>Reduced poverty &amp; vulnerability of Palestinians in the OPTs and the region.   </v>
      </c>
    </row>
    <row r="6" spans="2:8" s="82" customFormat="1" ht="47.25" customHeight="1">
      <c r="B6" s="54">
        <v>2</v>
      </c>
      <c r="C6" s="54" t="str">
        <f>OUTPUT_2</f>
        <v>Preventative Legal Response  A longer term legal strategy that helps to prevent demolitions and displacement</v>
      </c>
      <c r="D6" s="57">
        <f>IMPACT_WEIGHTING_2</f>
        <v>0.3</v>
      </c>
      <c r="E6" s="76"/>
      <c r="F6" s="266"/>
      <c r="G6" s="76"/>
      <c r="H6" s="266"/>
    </row>
    <row r="7" spans="1:8" s="76" customFormat="1" ht="38.25">
      <c r="A7" s="38"/>
      <c r="B7" s="54">
        <v>3</v>
      </c>
      <c r="C7" s="54" t="str">
        <f>OUTPUT_3</f>
        <v>Policy Change Response   -Influencing policy change on  HLP violations through advocacy. </v>
      </c>
      <c r="D7" s="57">
        <f>IMPACT_WEIGHTING_3</f>
        <v>0.3</v>
      </c>
      <c r="F7" s="266"/>
      <c r="H7" s="266"/>
    </row>
    <row r="8" spans="1:8" s="76" customFormat="1" ht="38.25">
      <c r="A8" s="38"/>
      <c r="B8" s="108">
        <v>4</v>
      </c>
      <c r="C8" s="108" t="str">
        <f>OUTPUT_4</f>
        <v>PA Capacity Building Response  - Strengthen the capacity of the PA to provide legal aid in HLP cases.</v>
      </c>
      <c r="D8" s="107">
        <f>IMPACT_WEIGHTING_4</f>
        <v>0.1</v>
      </c>
      <c r="F8" s="266"/>
      <c r="H8" s="266"/>
    </row>
    <row r="9" spans="1:8" s="76" customFormat="1" ht="34.5" customHeight="1" hidden="1" outlineLevel="1">
      <c r="A9" s="38"/>
      <c r="B9" s="63">
        <v>5</v>
      </c>
      <c r="C9" s="63">
        <f>OUTPUT_5</f>
        <v>0</v>
      </c>
      <c r="D9" s="83">
        <f>IMPACT_WEIGHTING_5</f>
        <v>0</v>
      </c>
      <c r="F9" s="266"/>
      <c r="H9" s="266"/>
    </row>
    <row r="10" spans="1:8" s="37" customFormat="1" ht="40.5" customHeight="1" collapsed="1">
      <c r="A10" s="262"/>
      <c r="B10" s="45"/>
      <c r="C10" s="42"/>
      <c r="D10" s="42"/>
      <c r="E10" s="39"/>
      <c r="F10" s="40"/>
      <c r="G10" s="39"/>
      <c r="H10" s="41"/>
    </row>
    <row r="11" spans="1:8" s="37" customFormat="1" ht="13.5" customHeight="1">
      <c r="A11" s="263"/>
      <c r="B11" s="46"/>
      <c r="C11" s="41"/>
      <c r="D11" s="41"/>
      <c r="F11" s="41"/>
      <c r="H11" s="261"/>
    </row>
    <row r="12" spans="1:8" s="37" customFormat="1" ht="97.5" customHeight="1">
      <c r="A12" s="263"/>
      <c r="B12" s="46"/>
      <c r="C12" s="41"/>
      <c r="D12" s="41"/>
      <c r="F12" s="41"/>
      <c r="H12" s="261"/>
    </row>
    <row r="13" spans="3:4" s="37" customFormat="1" ht="165.75" customHeight="1">
      <c r="C13" s="43"/>
      <c r="D13" s="43"/>
    </row>
    <row r="14" spans="3:4" s="37" customFormat="1" ht="13.5" customHeight="1">
      <c r="C14" s="43"/>
      <c r="D14" s="43"/>
    </row>
    <row r="15" spans="3:4" s="37" customFormat="1" ht="13.5" customHeight="1">
      <c r="C15" s="43"/>
      <c r="D15" s="43"/>
    </row>
    <row r="16" spans="3:4" s="37" customFormat="1" ht="89.25" customHeight="1">
      <c r="C16" s="43"/>
      <c r="D16" s="43"/>
    </row>
    <row r="17" spans="3:4" s="37" customFormat="1" ht="13.5" customHeight="1">
      <c r="C17" s="43"/>
      <c r="D17" s="43"/>
    </row>
    <row r="18" spans="3:4" s="37" customFormat="1" ht="13.5" customHeight="1">
      <c r="C18" s="43"/>
      <c r="D18" s="43"/>
    </row>
    <row r="19" spans="3:4" s="37" customFormat="1" ht="102" customHeight="1">
      <c r="C19" s="43"/>
      <c r="D19" s="43"/>
    </row>
    <row r="20" spans="3:4" s="37" customFormat="1" ht="13.5" customHeight="1">
      <c r="C20" s="43"/>
      <c r="D20" s="43"/>
    </row>
  </sheetData>
  <sheetProtection/>
  <mergeCells count="6">
    <mergeCell ref="H11:H12"/>
    <mergeCell ref="A10:A12"/>
    <mergeCell ref="C2:H2"/>
    <mergeCell ref="B4:D4"/>
    <mergeCell ref="H5:H9"/>
    <mergeCell ref="F5:F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16">
      <selection activeCell="G10" sqref="G10"/>
    </sheetView>
  </sheetViews>
  <sheetFormatPr defaultColWidth="9.140625" defaultRowHeight="12.75" outlineLevelRow="1"/>
  <cols>
    <col min="1" max="1" width="9.140625" style="25" customWidth="1"/>
    <col min="2" max="2" width="17.57421875" style="28" customWidth="1"/>
    <col min="3" max="3" width="2.140625" style="25" customWidth="1"/>
    <col min="4" max="4" width="25.8515625" style="25" customWidth="1"/>
    <col min="5" max="5" width="6.8515625" style="25" customWidth="1"/>
    <col min="6" max="6" width="2.140625" style="25" customWidth="1"/>
    <col min="7" max="7" width="43.8515625" style="25" customWidth="1"/>
    <col min="8" max="8" width="1.8515625" style="25" customWidth="1"/>
    <col min="9" max="9" width="10.7109375" style="25" customWidth="1"/>
    <col min="10" max="10" width="9.140625" style="25" customWidth="1"/>
    <col min="11" max="11" width="1.8515625" style="25" customWidth="1"/>
    <col min="12" max="12" width="34.7109375" style="25" customWidth="1"/>
    <col min="13" max="16384" width="9.140625" style="25" customWidth="1"/>
  </cols>
  <sheetData>
    <row r="1" spans="2:12" ht="18">
      <c r="B1" s="270" t="str">
        <f>PROJECT_NAME</f>
        <v>Information, Counselling and Legal Assistance for the protection of Palestinians affected by or at risk of displacement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3" spans="2:12" ht="15.75" customHeight="1">
      <c r="B3" s="271" t="s">
        <v>30</v>
      </c>
      <c r="C3" s="271"/>
      <c r="D3" s="271"/>
      <c r="E3" s="50"/>
      <c r="F3" s="26"/>
      <c r="G3" s="27" t="s">
        <v>29</v>
      </c>
      <c r="H3" s="26"/>
      <c r="I3" s="272" t="str">
        <f>Logframe!D2</f>
        <v>Baseline 2012</v>
      </c>
      <c r="J3" s="272" t="str">
        <f>Logframe!G2</f>
        <v>Target 2014</v>
      </c>
      <c r="K3" s="26"/>
      <c r="L3" s="27" t="s">
        <v>4</v>
      </c>
    </row>
    <row r="4" spans="2:12" ht="15.75">
      <c r="B4" s="27"/>
      <c r="C4" s="27"/>
      <c r="D4" s="27"/>
      <c r="E4" s="50"/>
      <c r="F4" s="26"/>
      <c r="G4" s="27"/>
      <c r="H4" s="26"/>
      <c r="I4" s="272"/>
      <c r="J4" s="272"/>
      <c r="K4" s="26"/>
      <c r="L4" s="27"/>
    </row>
    <row r="5" spans="2:12" ht="31.5" customHeight="1">
      <c r="B5" s="273" t="s">
        <v>1</v>
      </c>
      <c r="D5" s="266" t="str">
        <f>IMPACT</f>
        <v>Reduced poverty &amp; vulnerability of Palestinians in the OPTs and the region.   </v>
      </c>
      <c r="E5" s="266"/>
      <c r="F5" s="40"/>
      <c r="G5" s="139" t="str">
        <f>Impact_Indicator_1</f>
        <v>Depth of poverty: Poverty gap index</v>
      </c>
      <c r="H5" s="40"/>
      <c r="I5" s="100">
        <f>Impact_1_Baseline_2012</f>
        <v>0</v>
      </c>
      <c r="J5" s="100">
        <f>Impact_1_Planned_2015</f>
        <v>0</v>
      </c>
      <c r="K5" s="40"/>
      <c r="L5" s="55">
        <f>Imp_1_Source</f>
        <v>0</v>
      </c>
    </row>
    <row r="6" spans="2:12" ht="23.25" customHeight="1" outlineLevel="1">
      <c r="B6" s="273"/>
      <c r="D6" s="266"/>
      <c r="E6" s="266"/>
      <c r="F6" s="40"/>
      <c r="G6" s="175" t="s">
        <v>113</v>
      </c>
      <c r="H6" s="40"/>
      <c r="I6" s="100">
        <f>Impact_2_Baseline_2012</f>
        <v>0</v>
      </c>
      <c r="J6" s="100">
        <f>Impact_2_Planned_2015</f>
        <v>0</v>
      </c>
      <c r="K6" s="40"/>
      <c r="L6" s="55" t="str">
        <f>Imp_2_Source</f>
        <v>OCHA?</v>
      </c>
    </row>
    <row r="7" spans="2:12" ht="8.25" customHeight="1">
      <c r="B7" s="30"/>
      <c r="D7" s="40"/>
      <c r="E7" s="40"/>
      <c r="F7" s="40"/>
      <c r="G7" s="138"/>
      <c r="H7" s="40"/>
      <c r="I7" s="101"/>
      <c r="J7" s="101"/>
      <c r="K7" s="40"/>
      <c r="L7" s="56"/>
    </row>
    <row r="8" spans="2:12" ht="51">
      <c r="B8" s="269" t="s">
        <v>5</v>
      </c>
      <c r="D8" s="266" t="str">
        <f>OUTCOME</f>
        <v>Palestinians at risk of displacement within the oPt are better able to uphold their housing land and property rights through provision of legal aid services and increased access to justice .</v>
      </c>
      <c r="E8" s="266"/>
      <c r="F8" s="40"/>
      <c r="G8" s="139" t="str">
        <f>Outcome_Indicator_1</f>
        <v>% of households in Area C and East Jerusalem who receive a temporary suspension of demolition order due to legal representation provided through NRC</v>
      </c>
      <c r="H8" s="40"/>
      <c r="I8" s="171">
        <f>Outcome_1_Baseline_2012</f>
        <v>0.95</v>
      </c>
      <c r="J8" s="172">
        <f>Outcome_1_Planned_2015</f>
        <v>0.95</v>
      </c>
      <c r="K8" s="40"/>
      <c r="L8" s="55" t="str">
        <f>Out_1_Source</f>
        <v>NRC annual report</v>
      </c>
    </row>
    <row r="9" spans="2:12" ht="45.75" customHeight="1" outlineLevel="1">
      <c r="B9" s="269"/>
      <c r="D9" s="266"/>
      <c r="E9" s="266"/>
      <c r="F9" s="40"/>
      <c r="G9" s="139" t="str">
        <f>Outcome_Indicator_2</f>
        <v>% of beneficiaries participating in  information sessions who report the information presented will assist them in their daily lives  (sex disaggregated)</v>
      </c>
      <c r="H9" s="40"/>
      <c r="I9" s="102" t="str">
        <f>Outcome_2_Baseline_2012</f>
        <v>tbc</v>
      </c>
      <c r="J9" s="103" t="str">
        <f>Outcome_2_Planned_2015</f>
        <v>at least 50%</v>
      </c>
      <c r="K9" s="40"/>
      <c r="L9" s="55" t="str">
        <f>Out_2_Source</f>
        <v>Beneficiary surveys carried out after every information service,NRC annual report</v>
      </c>
    </row>
    <row r="10" spans="2:12" ht="57" customHeight="1" outlineLevel="1">
      <c r="B10" s="269"/>
      <c r="D10" s="266"/>
      <c r="E10" s="266"/>
      <c r="F10" s="40"/>
      <c r="G10" s="139" t="str">
        <f>Outcome_Indicator_3</f>
        <v>Number of  cases of positive action taken as a result of information received from NRC in an effort to reduce forced displacement (weighted measure)</v>
      </c>
      <c r="H10" s="40"/>
      <c r="I10" s="102">
        <f>Outcome_3_Baseline_2012</f>
        <v>0</v>
      </c>
      <c r="J10" s="104">
        <f>Outcome_3_Planned_2015</f>
        <v>0</v>
      </c>
      <c r="K10" s="40"/>
      <c r="L10" s="55" t="str">
        <f>Out_3_Source</f>
        <v>Collated from regular reporting and feedback, NRC annual report</v>
      </c>
    </row>
    <row r="11" spans="2:12" ht="9.75" customHeight="1">
      <c r="B11" s="32"/>
      <c r="D11" s="40"/>
      <c r="E11" s="40"/>
      <c r="F11" s="40"/>
      <c r="G11" s="51"/>
      <c r="H11" s="40"/>
      <c r="I11" s="40"/>
      <c r="J11" s="51"/>
      <c r="K11" s="40"/>
      <c r="L11" s="51"/>
    </row>
    <row r="12" spans="2:12" ht="25.5">
      <c r="B12" s="269" t="s">
        <v>28</v>
      </c>
      <c r="D12" s="266" t="str">
        <f>OUTPUT_1</f>
        <v>Emergency Legal Response - Provision of emergency legal counselling to Palestinians at risk of displacement in Area C, East Jerusalem and Gaza.  </v>
      </c>
      <c r="E12" s="268">
        <f>IMPACT_WEIGHTING_1</f>
        <v>0.3</v>
      </c>
      <c r="F12" s="51"/>
      <c r="G12" s="47" t="str">
        <f>Output_Indicator_1.1</f>
        <v>Number of households receiving legal counselling on HLP issues </v>
      </c>
      <c r="H12" s="40"/>
      <c r="I12" s="58">
        <f>Output_1.1_Baseline_2012</f>
        <v>0</v>
      </c>
      <c r="J12" s="59">
        <f>Output_1.1_Planned_2015</f>
        <v>0</v>
      </c>
      <c r="K12" s="40"/>
      <c r="L12" s="47" t="str">
        <f>Output_1.1_Source</f>
        <v>NRC Annual Report</v>
      </c>
    </row>
    <row r="13" spans="2:12" ht="25.5" outlineLevel="1">
      <c r="B13" s="269"/>
      <c r="D13" s="266"/>
      <c r="E13" s="268"/>
      <c r="F13" s="51"/>
      <c r="G13" s="47" t="str">
        <f>Output_Indicator_1.2</f>
        <v>Number of opened  and ongoing cases of legal assistance </v>
      </c>
      <c r="H13" s="40"/>
      <c r="I13" s="58">
        <f>Output_1.2_Baseline_2012</f>
        <v>0</v>
      </c>
      <c r="J13" s="59">
        <f>Output_1.2_Planned_2015</f>
        <v>0</v>
      </c>
      <c r="K13" s="40"/>
      <c r="L13" s="47" t="str">
        <f>Output_1.2_Source</f>
        <v>NRC Annual Report</v>
      </c>
    </row>
    <row r="14" spans="2:12" s="124" customFormat="1" ht="45" customHeight="1" outlineLevel="1">
      <c r="B14" s="269"/>
      <c r="D14" s="266"/>
      <c r="E14" s="268"/>
      <c r="F14" s="121"/>
      <c r="G14" s="119" t="str">
        <f>Output_Indicator_1.3</f>
        <v>Percentage of beneficiaries who are at least satisfied with quality of services provided </v>
      </c>
      <c r="H14" s="122"/>
      <c r="I14" s="58">
        <f>Output_1.3_Baseline_2012</f>
        <v>0</v>
      </c>
      <c r="J14" s="59">
        <f>Output_1.3_Planned_2015</f>
        <v>0</v>
      </c>
      <c r="K14" s="122"/>
      <c r="L14" s="119" t="str">
        <f>Output_1.3_Source</f>
        <v>NRC Annual Report using beneficiary surveys of households using legal services</v>
      </c>
    </row>
    <row r="15" spans="2:12" ht="43.5" customHeight="1" outlineLevel="1">
      <c r="B15" s="269"/>
      <c r="D15" s="266"/>
      <c r="E15" s="268"/>
      <c r="F15" s="51"/>
      <c r="G15" s="144" t="str">
        <f>Output_Indicator_1.4</f>
        <v>Number of Palestinians who receive legal services following potential HLP violations in the Gaza Access Restricted Area</v>
      </c>
      <c r="H15" s="40"/>
      <c r="I15" s="53">
        <f>Output_1.4_Baseline_2012</f>
        <v>0</v>
      </c>
      <c r="J15" s="53">
        <f>Output_1.4_Planned_2015</f>
        <v>0</v>
      </c>
      <c r="K15" s="40"/>
      <c r="L15" s="53" t="str">
        <f>Output_1.4_Source</f>
        <v>NRC Annual Report</v>
      </c>
    </row>
    <row r="16" spans="2:12" ht="3" customHeight="1">
      <c r="B16" s="269"/>
      <c r="D16" s="60"/>
      <c r="E16" s="60"/>
      <c r="F16" s="51"/>
      <c r="G16" s="40"/>
      <c r="H16" s="40"/>
      <c r="I16" s="40"/>
      <c r="J16" s="40"/>
      <c r="K16" s="40"/>
      <c r="L16" s="40"/>
    </row>
    <row r="17" spans="2:12" ht="25.5">
      <c r="B17" s="269"/>
      <c r="D17" s="266" t="str">
        <f>OUTPUT_2</f>
        <v>Preventative Legal Response  A longer term legal strategy that helps to prevent demolitions and displacement</v>
      </c>
      <c r="E17" s="268">
        <f>IMPACT_WEIGHTING_2</f>
        <v>0.3</v>
      </c>
      <c r="F17" s="51"/>
      <c r="G17" s="47" t="str">
        <f>Output_Indicator_2.1</f>
        <v>Number of discriminatory laws, policies or practices exposed through public interest cases</v>
      </c>
      <c r="H17" s="40"/>
      <c r="I17" s="58">
        <f>Output_2.1_Baseline_2012</f>
        <v>0</v>
      </c>
      <c r="J17" s="59">
        <f>Output_2.1_Planned_2015</f>
        <v>0</v>
      </c>
      <c r="K17" s="40"/>
      <c r="L17" s="47" t="str">
        <f>Output_2.1_Source</f>
        <v>NRC Annual report</v>
      </c>
    </row>
    <row r="18" spans="2:12" ht="25.5" outlineLevel="1">
      <c r="B18" s="269"/>
      <c r="D18" s="266"/>
      <c r="E18" s="268"/>
      <c r="F18" s="51"/>
      <c r="G18" s="47" t="str">
        <f>Output_Indicator_2.2</f>
        <v>Number of lawyers receiving training (sex disaggregated)</v>
      </c>
      <c r="H18" s="40"/>
      <c r="I18" s="58">
        <f>Output_2.2_Baseline_2012</f>
        <v>0</v>
      </c>
      <c r="J18" s="59">
        <f>Output_2.2_Planned_2015</f>
        <v>0</v>
      </c>
      <c r="K18" s="40"/>
      <c r="L18" s="47" t="str">
        <f>Output_2.2_Source</f>
        <v>NRC Annual report</v>
      </c>
    </row>
    <row r="19" spans="2:12" s="124" customFormat="1" ht="38.25" outlineLevel="1">
      <c r="B19" s="269"/>
      <c r="D19" s="266"/>
      <c r="E19" s="268"/>
      <c r="F19" s="121"/>
      <c r="G19" s="119" t="str">
        <f>Output_Indicator_2.3</f>
        <v>Number of cases where lawyers have demonstrated usage of information received from NRC training</v>
      </c>
      <c r="H19" s="122"/>
      <c r="I19" s="58">
        <f>Output_2.3_Baseline_2012</f>
        <v>0</v>
      </c>
      <c r="J19" s="59">
        <f>Output_2.3_Planned_2015</f>
        <v>0</v>
      </c>
      <c r="K19" s="122"/>
      <c r="L19" s="119" t="str">
        <f>Output_2.3_Source</f>
        <v>Surveys conducted after training, NRC Annual report</v>
      </c>
    </row>
    <row r="20" spans="2:12" ht="32.25" customHeight="1" outlineLevel="1">
      <c r="B20" s="269"/>
      <c r="D20" s="266"/>
      <c r="E20" s="268"/>
      <c r="F20" s="51"/>
      <c r="G20" s="47" t="str">
        <f>Output_Indicator_2.4</f>
        <v>Number of persons receiving information services (disaggregated by gender)</v>
      </c>
      <c r="H20" s="40"/>
      <c r="I20" s="58">
        <f>Output_2.4_Baseline_2012</f>
        <v>0</v>
      </c>
      <c r="J20" s="59">
        <f>Output_2.4_Planned_2015</f>
        <v>0</v>
      </c>
      <c r="K20" s="40"/>
      <c r="L20" s="47">
        <f>Output_2.4_Source</f>
        <v>0</v>
      </c>
    </row>
    <row r="21" spans="2:12" ht="3.75" customHeight="1">
      <c r="B21" s="269"/>
      <c r="D21" s="40"/>
      <c r="E21" s="40"/>
      <c r="F21" s="40"/>
      <c r="G21" s="40"/>
      <c r="H21" s="40"/>
      <c r="I21" s="40"/>
      <c r="J21" s="40"/>
      <c r="K21" s="40"/>
      <c r="L21" s="40"/>
    </row>
    <row r="22" spans="2:12" ht="36" customHeight="1">
      <c r="B22" s="269"/>
      <c r="D22" s="266" t="str">
        <f>OUTPUT_3</f>
        <v>Policy Change Response   -Influencing policy change on  HLP violations through advocacy. </v>
      </c>
      <c r="E22" s="268">
        <f>IMPACT_WEIGHTING_3</f>
        <v>0.3</v>
      </c>
      <c r="F22" s="51"/>
      <c r="G22" s="47" t="str">
        <f>Output_Indicator_3.1</f>
        <v>Number of advocacy briefings given on specific HLP issues (verbal or written)</v>
      </c>
      <c r="H22" s="40"/>
      <c r="I22" s="58">
        <f>Output_3.1_Baseline_2012</f>
        <v>0</v>
      </c>
      <c r="J22" s="59">
        <f>Output_3.1_Planned_2015</f>
        <v>0</v>
      </c>
      <c r="K22" s="40"/>
      <c r="L22" s="47" t="str">
        <f>Output_3.1_Source</f>
        <v>NRC Annual Report</v>
      </c>
    </row>
    <row r="23" spans="2:12" ht="45" customHeight="1">
      <c r="B23" s="269"/>
      <c r="D23" s="266"/>
      <c r="E23" s="268"/>
      <c r="F23" s="51"/>
      <c r="G23" s="47" t="str">
        <f>Output_Indicator_3.2</f>
        <v>Number of  instances reported where NRC research documents have been used  </v>
      </c>
      <c r="H23" s="40"/>
      <c r="I23" s="58">
        <f>Output_3.2_Baseline_2012</f>
        <v>0</v>
      </c>
      <c r="J23" s="59">
        <f>Output_3.2_Planned_2015</f>
        <v>0</v>
      </c>
      <c r="K23" s="40"/>
      <c r="L23" s="47" t="str">
        <f>Output_3.2_Source</f>
        <v>Follow up surveys conducted, NRC Annual Report</v>
      </c>
    </row>
    <row r="24" spans="2:12" s="124" customFormat="1" ht="12.75" hidden="1" outlineLevel="1">
      <c r="B24" s="269"/>
      <c r="D24" s="266"/>
      <c r="E24" s="268"/>
      <c r="F24" s="121"/>
      <c r="G24" s="119">
        <f>Output_Indicator_3.3</f>
        <v>0</v>
      </c>
      <c r="H24" s="122"/>
      <c r="I24" s="58">
        <f>Output_3.3_Baseline_2012</f>
        <v>0</v>
      </c>
      <c r="J24" s="59">
        <f>Output_3.4_Planned_2015</f>
        <v>0</v>
      </c>
      <c r="K24" s="122"/>
      <c r="L24" s="119">
        <f>Output_3.3_Source</f>
        <v>0</v>
      </c>
    </row>
    <row r="25" spans="2:12" ht="12.75" hidden="1" outlineLevel="1">
      <c r="B25" s="269"/>
      <c r="D25" s="266"/>
      <c r="E25" s="268"/>
      <c r="F25" s="51"/>
      <c r="G25" s="47">
        <f>Output_Indicator_3.4</f>
        <v>0</v>
      </c>
      <c r="H25" s="40"/>
      <c r="I25" s="58">
        <f>Output_3.4_Baseline_2012</f>
        <v>0</v>
      </c>
      <c r="J25" s="47">
        <f>Output_3.4_Planned_2015</f>
        <v>0</v>
      </c>
      <c r="K25" s="40"/>
      <c r="L25" s="47">
        <f>Output_3.4_Source</f>
        <v>0</v>
      </c>
    </row>
    <row r="26" spans="2:12" ht="5.25" customHeight="1" collapsed="1">
      <c r="B26" s="269"/>
      <c r="D26" s="40"/>
      <c r="E26" s="40"/>
      <c r="F26" s="40"/>
      <c r="G26" s="40"/>
      <c r="H26" s="40"/>
      <c r="I26" s="40"/>
      <c r="J26" s="40"/>
      <c r="K26" s="40"/>
      <c r="L26" s="40"/>
    </row>
    <row r="27" spans="2:12" s="112" customFormat="1" ht="44.25" customHeight="1">
      <c r="B27" s="269"/>
      <c r="D27" s="266" t="str">
        <f>OUTPUT_4</f>
        <v>PA Capacity Building Response  - Strengthen the capacity of the PA to provide legal aid in HLP cases.</v>
      </c>
      <c r="E27" s="268">
        <f>IMPACT_WEIGHTING_4</f>
        <v>0.1</v>
      </c>
      <c r="F27" s="110"/>
      <c r="G27" s="108" t="str">
        <f>Output_Indicator_4.1</f>
        <v>Extent to which an options paper is produced and being implemented  (Scale 1 to 5 see separate note)</v>
      </c>
      <c r="H27" s="111"/>
      <c r="I27" s="58">
        <f>Output_4.1_Baseline_2012</f>
        <v>0</v>
      </c>
      <c r="J27" s="59">
        <f>Output_4.1_Planned_2015</f>
        <v>4</v>
      </c>
      <c r="K27" s="111"/>
      <c r="L27" s="108" t="str">
        <f>Output_4.1_Source</f>
        <v>NRC Annual Report quality assured by DFID</v>
      </c>
    </row>
    <row r="28" spans="2:12" s="112" customFormat="1" ht="57.75" customHeight="1">
      <c r="B28" s="269"/>
      <c r="D28" s="266"/>
      <c r="E28" s="268"/>
      <c r="F28" s="110"/>
      <c r="G28" s="108" t="str">
        <f>Output_Indicator_4.2</f>
        <v>Number of direct issues of cooperation where NRC is actively working with UNDP and PA on development of a sustainable legal aid system for HLP law</v>
      </c>
      <c r="H28" s="111"/>
      <c r="I28" s="58">
        <f>Output_4.2_Baseline_2012</f>
        <v>0</v>
      </c>
      <c r="J28" s="59">
        <f>Output_4.2_Planned_2015</f>
        <v>0</v>
      </c>
      <c r="K28" s="111"/>
      <c r="L28" s="108" t="str">
        <f>Output_4.2_Source</f>
        <v>NRC Annual Report</v>
      </c>
    </row>
    <row r="29" spans="2:12" s="124" customFormat="1" ht="12" customHeight="1" hidden="1" outlineLevel="1">
      <c r="B29" s="269"/>
      <c r="D29" s="266"/>
      <c r="E29" s="268"/>
      <c r="F29" s="121"/>
      <c r="G29" s="119">
        <f>Output_Indicator_4.3</f>
        <v>0</v>
      </c>
      <c r="H29" s="122"/>
      <c r="I29" s="58">
        <f>Output_4.3_Baseline_2012</f>
        <v>0</v>
      </c>
      <c r="J29" s="59">
        <f>Output_4.3_Planned_2015</f>
        <v>0</v>
      </c>
      <c r="K29" s="122"/>
      <c r="L29" s="119">
        <f>Output_4.3_Source</f>
        <v>0</v>
      </c>
    </row>
    <row r="30" spans="2:12" s="112" customFormat="1" ht="12" customHeight="1" hidden="1" outlineLevel="1">
      <c r="B30" s="269"/>
      <c r="D30" s="266"/>
      <c r="E30" s="268"/>
      <c r="F30" s="110"/>
      <c r="G30" s="108">
        <f>Output_Indicator_4.4</f>
        <v>0</v>
      </c>
      <c r="H30" s="111"/>
      <c r="I30" s="58">
        <f>Output_4.4_Baseline_2012</f>
        <v>0</v>
      </c>
      <c r="J30" s="108">
        <f>Output_4.4_Planned_2015</f>
        <v>0</v>
      </c>
      <c r="K30" s="111"/>
      <c r="L30" s="108">
        <f>Output_4.4_Source</f>
        <v>0</v>
      </c>
    </row>
    <row r="31" spans="2:12" s="112" customFormat="1" ht="12.75" hidden="1" outlineLevel="1">
      <c r="B31" s="269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2:12" ht="12.75" hidden="1" outlineLevel="1">
      <c r="B32" s="269"/>
      <c r="D32" s="266">
        <f>OUTPUT_5</f>
        <v>0</v>
      </c>
      <c r="E32" s="268">
        <f>IMPACT_WEIGHTING_5</f>
        <v>0</v>
      </c>
      <c r="F32" s="51"/>
      <c r="G32" s="47">
        <f>Output_Indicator_5.1</f>
        <v>0</v>
      </c>
      <c r="H32" s="40"/>
      <c r="I32" s="58">
        <f>Output_5.1_Baseline_2012</f>
        <v>0</v>
      </c>
      <c r="J32" s="59">
        <f>Output_5.1_Planned_2015</f>
        <v>0</v>
      </c>
      <c r="K32" s="40"/>
      <c r="L32" s="47">
        <f>Output_5.1_Source</f>
        <v>0</v>
      </c>
    </row>
    <row r="33" spans="2:12" ht="12.75" hidden="1" outlineLevel="1">
      <c r="B33" s="269"/>
      <c r="D33" s="266"/>
      <c r="E33" s="268"/>
      <c r="F33" s="51"/>
      <c r="G33" s="47">
        <f>Output_Indicator_5.2</f>
        <v>0</v>
      </c>
      <c r="H33" s="40"/>
      <c r="I33" s="58">
        <f>Output_5.2_Baseline_2012</f>
        <v>0</v>
      </c>
      <c r="J33" s="59">
        <f>Output_5.2_Planned_2015</f>
        <v>0</v>
      </c>
      <c r="K33" s="40"/>
      <c r="L33" s="47">
        <f>Output_5.2_Source</f>
        <v>0</v>
      </c>
    </row>
    <row r="34" spans="2:12" s="124" customFormat="1" ht="12.75" hidden="1" outlineLevel="1">
      <c r="B34" s="269"/>
      <c r="D34" s="266"/>
      <c r="E34" s="268"/>
      <c r="F34" s="121"/>
      <c r="G34" s="119">
        <f>Output_Indicator_5.3</f>
        <v>0</v>
      </c>
      <c r="H34" s="122"/>
      <c r="I34" s="58">
        <f>Output_5.3_Baseline_2012</f>
        <v>0</v>
      </c>
      <c r="J34" s="59">
        <f>Output_5.3_Planned_2015</f>
        <v>0</v>
      </c>
      <c r="K34" s="122"/>
      <c r="L34" s="119">
        <f>Output_5.3_Source</f>
        <v>0</v>
      </c>
    </row>
    <row r="35" spans="2:12" ht="12.75" hidden="1" outlineLevel="1">
      <c r="B35" s="269"/>
      <c r="D35" s="266"/>
      <c r="E35" s="268"/>
      <c r="F35" s="51"/>
      <c r="G35" s="47">
        <f>Output_Indicator_5.4</f>
        <v>0</v>
      </c>
      <c r="H35" s="40"/>
      <c r="I35" s="58">
        <f>Output_5.4_Baseline_2012</f>
        <v>0</v>
      </c>
      <c r="J35" s="47">
        <f>Output_5.4_Planned_2015</f>
        <v>0</v>
      </c>
      <c r="K35" s="40"/>
      <c r="L35" s="47">
        <f>Output_5.4_Source</f>
        <v>0</v>
      </c>
    </row>
    <row r="36" ht="20.25" collapsed="1">
      <c r="L36" s="31"/>
    </row>
    <row r="37" spans="1:256" s="112" customFormat="1" ht="12.7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7"/>
      <c r="FI37" s="267"/>
      <c r="FJ37" s="267"/>
      <c r="FK37" s="267"/>
      <c r="FL37" s="267"/>
      <c r="FM37" s="267"/>
      <c r="FN37" s="267"/>
      <c r="FO37" s="267"/>
      <c r="FP37" s="267"/>
      <c r="FQ37" s="267"/>
      <c r="FR37" s="267"/>
      <c r="FS37" s="267"/>
      <c r="FT37" s="267"/>
      <c r="FU37" s="267"/>
      <c r="FV37" s="267"/>
      <c r="FW37" s="267"/>
      <c r="FX37" s="267"/>
      <c r="FY37" s="267"/>
      <c r="FZ37" s="267"/>
      <c r="GA37" s="267"/>
      <c r="GB37" s="267"/>
      <c r="GC37" s="267"/>
      <c r="GD37" s="267"/>
      <c r="GE37" s="267"/>
      <c r="GF37" s="267"/>
      <c r="GG37" s="267"/>
      <c r="GH37" s="267"/>
      <c r="GI37" s="267"/>
      <c r="GJ37" s="267"/>
      <c r="GK37" s="267"/>
      <c r="GL37" s="267"/>
      <c r="GM37" s="267"/>
      <c r="GN37" s="267"/>
      <c r="GO37" s="267"/>
      <c r="GP37" s="267"/>
      <c r="GQ37" s="267"/>
      <c r="GR37" s="267"/>
      <c r="GS37" s="267"/>
      <c r="GT37" s="267"/>
      <c r="GU37" s="267"/>
      <c r="GV37" s="267"/>
      <c r="GW37" s="267"/>
      <c r="GX37" s="267"/>
      <c r="GY37" s="267"/>
      <c r="GZ37" s="267"/>
      <c r="HA37" s="267"/>
      <c r="HB37" s="267"/>
      <c r="HC37" s="267"/>
      <c r="HD37" s="267"/>
      <c r="HE37" s="267"/>
      <c r="HF37" s="267"/>
      <c r="HG37" s="267"/>
      <c r="HH37" s="267"/>
      <c r="HI37" s="267"/>
      <c r="HJ37" s="267"/>
      <c r="HK37" s="267"/>
      <c r="HL37" s="267"/>
      <c r="HM37" s="267"/>
      <c r="HN37" s="267"/>
      <c r="HO37" s="267"/>
      <c r="HP37" s="267"/>
      <c r="HQ37" s="267"/>
      <c r="HR37" s="267"/>
      <c r="HS37" s="267"/>
      <c r="HT37" s="267"/>
      <c r="HU37" s="267"/>
      <c r="HV37" s="267"/>
      <c r="HW37" s="267"/>
      <c r="HX37" s="267"/>
      <c r="HY37" s="267"/>
      <c r="HZ37" s="267"/>
      <c r="IA37" s="267"/>
      <c r="IB37" s="267"/>
      <c r="IC37" s="267"/>
      <c r="ID37" s="267"/>
      <c r="IE37" s="267"/>
      <c r="IF37" s="267"/>
      <c r="IG37" s="267"/>
      <c r="IH37" s="267"/>
      <c r="II37" s="267"/>
      <c r="IJ37" s="267"/>
      <c r="IK37" s="267"/>
      <c r="IL37" s="267"/>
      <c r="IM37" s="267"/>
      <c r="IN37" s="267"/>
      <c r="IO37" s="267"/>
      <c r="IP37" s="267"/>
      <c r="IQ37" s="267"/>
      <c r="IR37" s="267"/>
      <c r="IS37" s="267"/>
      <c r="IT37" s="267"/>
      <c r="IU37" s="267"/>
      <c r="IV37" s="267"/>
    </row>
    <row r="38" spans="1:256" s="112" customFormat="1" ht="12.75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  <c r="FM38" s="267"/>
      <c r="FN38" s="267"/>
      <c r="FO38" s="267"/>
      <c r="FP38" s="267"/>
      <c r="FQ38" s="267"/>
      <c r="FR38" s="267"/>
      <c r="FS38" s="267"/>
      <c r="FT38" s="267"/>
      <c r="FU38" s="267"/>
      <c r="FV38" s="267"/>
      <c r="FW38" s="267"/>
      <c r="FX38" s="267"/>
      <c r="FY38" s="267"/>
      <c r="FZ38" s="267"/>
      <c r="GA38" s="267"/>
      <c r="GB38" s="267"/>
      <c r="GC38" s="267"/>
      <c r="GD38" s="267"/>
      <c r="GE38" s="267"/>
      <c r="GF38" s="267"/>
      <c r="GG38" s="267"/>
      <c r="GH38" s="267"/>
      <c r="GI38" s="267"/>
      <c r="GJ38" s="267"/>
      <c r="GK38" s="267"/>
      <c r="GL38" s="267"/>
      <c r="GM38" s="267"/>
      <c r="GN38" s="267"/>
      <c r="GO38" s="267"/>
      <c r="GP38" s="267"/>
      <c r="GQ38" s="267"/>
      <c r="GR38" s="267"/>
      <c r="GS38" s="267"/>
      <c r="GT38" s="267"/>
      <c r="GU38" s="267"/>
      <c r="GV38" s="267"/>
      <c r="GW38" s="267"/>
      <c r="GX38" s="267"/>
      <c r="GY38" s="267"/>
      <c r="GZ38" s="267"/>
      <c r="HA38" s="267"/>
      <c r="HB38" s="267"/>
      <c r="HC38" s="267"/>
      <c r="HD38" s="267"/>
      <c r="HE38" s="267"/>
      <c r="HF38" s="267"/>
      <c r="HG38" s="267"/>
      <c r="HH38" s="267"/>
      <c r="HI38" s="267"/>
      <c r="HJ38" s="267"/>
      <c r="HK38" s="267"/>
      <c r="HL38" s="267"/>
      <c r="HM38" s="267"/>
      <c r="HN38" s="267"/>
      <c r="HO38" s="267"/>
      <c r="HP38" s="267"/>
      <c r="HQ38" s="267"/>
      <c r="HR38" s="267"/>
      <c r="HS38" s="267"/>
      <c r="HT38" s="267"/>
      <c r="HU38" s="267"/>
      <c r="HV38" s="267"/>
      <c r="HW38" s="267"/>
      <c r="HX38" s="267"/>
      <c r="HY38" s="267"/>
      <c r="HZ38" s="267"/>
      <c r="IA38" s="267"/>
      <c r="IB38" s="267"/>
      <c r="IC38" s="267"/>
      <c r="ID38" s="267"/>
      <c r="IE38" s="267"/>
      <c r="IF38" s="267"/>
      <c r="IG38" s="267"/>
      <c r="IH38" s="267"/>
      <c r="II38" s="267"/>
      <c r="IJ38" s="267"/>
      <c r="IK38" s="267"/>
      <c r="IL38" s="267"/>
      <c r="IM38" s="267"/>
      <c r="IN38" s="267"/>
      <c r="IO38" s="267"/>
      <c r="IP38" s="267"/>
      <c r="IQ38" s="267"/>
      <c r="IR38" s="267"/>
      <c r="IS38" s="267"/>
      <c r="IT38" s="267"/>
      <c r="IU38" s="267"/>
      <c r="IV38" s="267"/>
    </row>
    <row r="39" spans="1:256" s="112" customFormat="1" ht="12.7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  <c r="GF39" s="267"/>
      <c r="GG39" s="267"/>
      <c r="GH39" s="267"/>
      <c r="GI39" s="267"/>
      <c r="GJ39" s="267"/>
      <c r="GK39" s="267"/>
      <c r="GL39" s="267"/>
      <c r="GM39" s="267"/>
      <c r="GN39" s="267"/>
      <c r="GO39" s="267"/>
      <c r="GP39" s="267"/>
      <c r="GQ39" s="267"/>
      <c r="GR39" s="267"/>
      <c r="GS39" s="267"/>
      <c r="GT39" s="267"/>
      <c r="GU39" s="267"/>
      <c r="GV39" s="267"/>
      <c r="GW39" s="267"/>
      <c r="GX39" s="267"/>
      <c r="GY39" s="267"/>
      <c r="GZ39" s="267"/>
      <c r="HA39" s="267"/>
      <c r="HB39" s="267"/>
      <c r="HC39" s="267"/>
      <c r="HD39" s="267"/>
      <c r="HE39" s="267"/>
      <c r="HF39" s="267"/>
      <c r="HG39" s="267"/>
      <c r="HH39" s="267"/>
      <c r="HI39" s="267"/>
      <c r="HJ39" s="267"/>
      <c r="HK39" s="267"/>
      <c r="HL39" s="267"/>
      <c r="HM39" s="267"/>
      <c r="HN39" s="267"/>
      <c r="HO39" s="267"/>
      <c r="HP39" s="267"/>
      <c r="HQ39" s="267"/>
      <c r="HR39" s="267"/>
      <c r="HS39" s="267"/>
      <c r="HT39" s="267"/>
      <c r="HU39" s="267"/>
      <c r="HV39" s="267"/>
      <c r="HW39" s="267"/>
      <c r="HX39" s="267"/>
      <c r="HY39" s="267"/>
      <c r="HZ39" s="267"/>
      <c r="IA39" s="267"/>
      <c r="IB39" s="267"/>
      <c r="IC39" s="267"/>
      <c r="ID39" s="267"/>
      <c r="IE39" s="267"/>
      <c r="IF39" s="267"/>
      <c r="IG39" s="267"/>
      <c r="IH39" s="267"/>
      <c r="II39" s="267"/>
      <c r="IJ39" s="267"/>
      <c r="IK39" s="267"/>
      <c r="IL39" s="267"/>
      <c r="IM39" s="267"/>
      <c r="IN39" s="267"/>
      <c r="IO39" s="267"/>
      <c r="IP39" s="267"/>
      <c r="IQ39" s="267"/>
      <c r="IR39" s="267"/>
      <c r="IS39" s="267"/>
      <c r="IT39" s="267"/>
      <c r="IU39" s="267"/>
      <c r="IV39" s="267"/>
    </row>
    <row r="40" spans="1:256" s="112" customFormat="1" ht="12.7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7"/>
      <c r="FI40" s="267"/>
      <c r="FJ40" s="267"/>
      <c r="FK40" s="267"/>
      <c r="FL40" s="267"/>
      <c r="FM40" s="267"/>
      <c r="FN40" s="267"/>
      <c r="FO40" s="267"/>
      <c r="FP40" s="267"/>
      <c r="FQ40" s="267"/>
      <c r="FR40" s="267"/>
      <c r="FS40" s="267"/>
      <c r="FT40" s="267"/>
      <c r="FU40" s="267"/>
      <c r="FV40" s="267"/>
      <c r="FW40" s="267"/>
      <c r="FX40" s="267"/>
      <c r="FY40" s="267"/>
      <c r="FZ40" s="267"/>
      <c r="GA40" s="267"/>
      <c r="GB40" s="267"/>
      <c r="GC40" s="267"/>
      <c r="GD40" s="267"/>
      <c r="GE40" s="267"/>
      <c r="GF40" s="267"/>
      <c r="GG40" s="267"/>
      <c r="GH40" s="267"/>
      <c r="GI40" s="267"/>
      <c r="GJ40" s="267"/>
      <c r="GK40" s="267"/>
      <c r="GL40" s="267"/>
      <c r="GM40" s="267"/>
      <c r="GN40" s="267"/>
      <c r="GO40" s="267"/>
      <c r="GP40" s="267"/>
      <c r="GQ40" s="267"/>
      <c r="GR40" s="267"/>
      <c r="GS40" s="267"/>
      <c r="GT40" s="267"/>
      <c r="GU40" s="267"/>
      <c r="GV40" s="267"/>
      <c r="GW40" s="267"/>
      <c r="GX40" s="267"/>
      <c r="GY40" s="267"/>
      <c r="GZ40" s="267"/>
      <c r="HA40" s="267"/>
      <c r="HB40" s="267"/>
      <c r="HC40" s="267"/>
      <c r="HD40" s="267"/>
      <c r="HE40" s="267"/>
      <c r="HF40" s="267"/>
      <c r="HG40" s="267"/>
      <c r="HH40" s="267"/>
      <c r="HI40" s="267"/>
      <c r="HJ40" s="267"/>
      <c r="HK40" s="267"/>
      <c r="HL40" s="267"/>
      <c r="HM40" s="267"/>
      <c r="HN40" s="267"/>
      <c r="HO40" s="267"/>
      <c r="HP40" s="267"/>
      <c r="HQ40" s="267"/>
      <c r="HR40" s="267"/>
      <c r="HS40" s="267"/>
      <c r="HT40" s="267"/>
      <c r="HU40" s="267"/>
      <c r="HV40" s="267"/>
      <c r="HW40" s="267"/>
      <c r="HX40" s="267"/>
      <c r="HY40" s="267"/>
      <c r="HZ40" s="267"/>
      <c r="IA40" s="267"/>
      <c r="IB40" s="267"/>
      <c r="IC40" s="267"/>
      <c r="ID40" s="267"/>
      <c r="IE40" s="267"/>
      <c r="IF40" s="267"/>
      <c r="IG40" s="267"/>
      <c r="IH40" s="267"/>
      <c r="II40" s="267"/>
      <c r="IJ40" s="267"/>
      <c r="IK40" s="267"/>
      <c r="IL40" s="267"/>
      <c r="IM40" s="267"/>
      <c r="IN40" s="267"/>
      <c r="IO40" s="267"/>
      <c r="IP40" s="267"/>
      <c r="IQ40" s="267"/>
      <c r="IR40" s="267"/>
      <c r="IS40" s="267"/>
      <c r="IT40" s="267"/>
      <c r="IU40" s="267"/>
      <c r="IV40" s="267"/>
    </row>
    <row r="41" spans="1:256" s="112" customFormat="1" ht="12.7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  <c r="FF41" s="267"/>
      <c r="FG41" s="267"/>
      <c r="FH41" s="267"/>
      <c r="FI41" s="267"/>
      <c r="FJ41" s="267"/>
      <c r="FK41" s="267"/>
      <c r="FL41" s="267"/>
      <c r="FM41" s="267"/>
      <c r="FN41" s="267"/>
      <c r="FO41" s="267"/>
      <c r="FP41" s="267"/>
      <c r="FQ41" s="267"/>
      <c r="FR41" s="267"/>
      <c r="FS41" s="267"/>
      <c r="FT41" s="267"/>
      <c r="FU41" s="267"/>
      <c r="FV41" s="267"/>
      <c r="FW41" s="267"/>
      <c r="FX41" s="267"/>
      <c r="FY41" s="267"/>
      <c r="FZ41" s="267"/>
      <c r="GA41" s="267"/>
      <c r="GB41" s="267"/>
      <c r="GC41" s="267"/>
      <c r="GD41" s="267"/>
      <c r="GE41" s="267"/>
      <c r="GF41" s="267"/>
      <c r="GG41" s="267"/>
      <c r="GH41" s="267"/>
      <c r="GI41" s="267"/>
      <c r="GJ41" s="267"/>
      <c r="GK41" s="267"/>
      <c r="GL41" s="267"/>
      <c r="GM41" s="267"/>
      <c r="GN41" s="267"/>
      <c r="GO41" s="267"/>
      <c r="GP41" s="267"/>
      <c r="GQ41" s="267"/>
      <c r="GR41" s="267"/>
      <c r="GS41" s="267"/>
      <c r="GT41" s="267"/>
      <c r="GU41" s="267"/>
      <c r="GV41" s="267"/>
      <c r="GW41" s="267"/>
      <c r="GX41" s="267"/>
      <c r="GY41" s="267"/>
      <c r="GZ41" s="267"/>
      <c r="HA41" s="267"/>
      <c r="HB41" s="267"/>
      <c r="HC41" s="267"/>
      <c r="HD41" s="267"/>
      <c r="HE41" s="267"/>
      <c r="HF41" s="267"/>
      <c r="HG41" s="267"/>
      <c r="HH41" s="267"/>
      <c r="HI41" s="267"/>
      <c r="HJ41" s="267"/>
      <c r="HK41" s="267"/>
      <c r="HL41" s="267"/>
      <c r="HM41" s="267"/>
      <c r="HN41" s="267"/>
      <c r="HO41" s="267"/>
      <c r="HP41" s="267"/>
      <c r="HQ41" s="267"/>
      <c r="HR41" s="267"/>
      <c r="HS41" s="267"/>
      <c r="HT41" s="267"/>
      <c r="HU41" s="267"/>
      <c r="HV41" s="267"/>
      <c r="HW41" s="267"/>
      <c r="HX41" s="267"/>
      <c r="HY41" s="267"/>
      <c r="HZ41" s="267"/>
      <c r="IA41" s="267"/>
      <c r="IB41" s="267"/>
      <c r="IC41" s="267"/>
      <c r="ID41" s="267"/>
      <c r="IE41" s="267"/>
      <c r="IF41" s="267"/>
      <c r="IG41" s="267"/>
      <c r="IH41" s="267"/>
      <c r="II41" s="267"/>
      <c r="IJ41" s="267"/>
      <c r="IK41" s="267"/>
      <c r="IL41" s="267"/>
      <c r="IM41" s="267"/>
      <c r="IN41" s="267"/>
      <c r="IO41" s="267"/>
      <c r="IP41" s="267"/>
      <c r="IQ41" s="267"/>
      <c r="IR41" s="267"/>
      <c r="IS41" s="267"/>
      <c r="IT41" s="267"/>
      <c r="IU41" s="267"/>
      <c r="IV41" s="267"/>
    </row>
    <row r="42" spans="1:256" s="112" customFormat="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7"/>
      <c r="FL42" s="267"/>
      <c r="FM42" s="267"/>
      <c r="FN42" s="267"/>
      <c r="FO42" s="267"/>
      <c r="FP42" s="267"/>
      <c r="FQ42" s="267"/>
      <c r="FR42" s="267"/>
      <c r="FS42" s="267"/>
      <c r="FT42" s="267"/>
      <c r="FU42" s="267"/>
      <c r="FV42" s="267"/>
      <c r="FW42" s="267"/>
      <c r="FX42" s="267"/>
      <c r="FY42" s="267"/>
      <c r="FZ42" s="267"/>
      <c r="GA42" s="267"/>
      <c r="GB42" s="267"/>
      <c r="GC42" s="267"/>
      <c r="GD42" s="267"/>
      <c r="GE42" s="267"/>
      <c r="GF42" s="267"/>
      <c r="GG42" s="267"/>
      <c r="GH42" s="267"/>
      <c r="GI42" s="267"/>
      <c r="GJ42" s="267"/>
      <c r="GK42" s="267"/>
      <c r="GL42" s="267"/>
      <c r="GM42" s="267"/>
      <c r="GN42" s="267"/>
      <c r="GO42" s="267"/>
      <c r="GP42" s="267"/>
      <c r="GQ42" s="267"/>
      <c r="GR42" s="267"/>
      <c r="GS42" s="267"/>
      <c r="GT42" s="267"/>
      <c r="GU42" s="267"/>
      <c r="GV42" s="267"/>
      <c r="GW42" s="267"/>
      <c r="GX42" s="267"/>
      <c r="GY42" s="267"/>
      <c r="GZ42" s="267"/>
      <c r="HA42" s="267"/>
      <c r="HB42" s="267"/>
      <c r="HC42" s="267"/>
      <c r="HD42" s="267"/>
      <c r="HE42" s="267"/>
      <c r="HF42" s="267"/>
      <c r="HG42" s="267"/>
      <c r="HH42" s="267"/>
      <c r="HI42" s="267"/>
      <c r="HJ42" s="267"/>
      <c r="HK42" s="267"/>
      <c r="HL42" s="267"/>
      <c r="HM42" s="267"/>
      <c r="HN42" s="267"/>
      <c r="HO42" s="267"/>
      <c r="HP42" s="267"/>
      <c r="HQ42" s="267"/>
      <c r="HR42" s="267"/>
      <c r="HS42" s="267"/>
      <c r="HT42" s="267"/>
      <c r="HU42" s="267"/>
      <c r="HV42" s="267"/>
      <c r="HW42" s="267"/>
      <c r="HX42" s="267"/>
      <c r="HY42" s="267"/>
      <c r="HZ42" s="267"/>
      <c r="IA42" s="267"/>
      <c r="IB42" s="267"/>
      <c r="IC42" s="267"/>
      <c r="ID42" s="267"/>
      <c r="IE42" s="267"/>
      <c r="IF42" s="267"/>
      <c r="IG42" s="267"/>
      <c r="IH42" s="267"/>
      <c r="II42" s="267"/>
      <c r="IJ42" s="267"/>
      <c r="IK42" s="267"/>
      <c r="IL42" s="267"/>
      <c r="IM42" s="267"/>
      <c r="IN42" s="267"/>
      <c r="IO42" s="267"/>
      <c r="IP42" s="267"/>
      <c r="IQ42" s="267"/>
      <c r="IR42" s="267"/>
      <c r="IS42" s="267"/>
      <c r="IT42" s="267"/>
      <c r="IU42" s="267"/>
      <c r="IV42" s="267"/>
    </row>
    <row r="43" spans="1:256" s="112" customFormat="1" ht="12.7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7"/>
      <c r="FI43" s="267"/>
      <c r="FJ43" s="267"/>
      <c r="FK43" s="267"/>
      <c r="FL43" s="267"/>
      <c r="FM43" s="267"/>
      <c r="FN43" s="267"/>
      <c r="FO43" s="267"/>
      <c r="FP43" s="267"/>
      <c r="FQ43" s="267"/>
      <c r="FR43" s="267"/>
      <c r="FS43" s="267"/>
      <c r="FT43" s="267"/>
      <c r="FU43" s="267"/>
      <c r="FV43" s="267"/>
      <c r="FW43" s="267"/>
      <c r="FX43" s="267"/>
      <c r="FY43" s="267"/>
      <c r="FZ43" s="267"/>
      <c r="GA43" s="267"/>
      <c r="GB43" s="267"/>
      <c r="GC43" s="267"/>
      <c r="GD43" s="267"/>
      <c r="GE43" s="267"/>
      <c r="GF43" s="267"/>
      <c r="GG43" s="267"/>
      <c r="GH43" s="267"/>
      <c r="GI43" s="267"/>
      <c r="GJ43" s="267"/>
      <c r="GK43" s="267"/>
      <c r="GL43" s="267"/>
      <c r="GM43" s="267"/>
      <c r="GN43" s="267"/>
      <c r="GO43" s="267"/>
      <c r="GP43" s="267"/>
      <c r="GQ43" s="267"/>
      <c r="GR43" s="267"/>
      <c r="GS43" s="267"/>
      <c r="GT43" s="267"/>
      <c r="GU43" s="267"/>
      <c r="GV43" s="267"/>
      <c r="GW43" s="267"/>
      <c r="GX43" s="267"/>
      <c r="GY43" s="267"/>
      <c r="GZ43" s="267"/>
      <c r="HA43" s="267"/>
      <c r="HB43" s="267"/>
      <c r="HC43" s="267"/>
      <c r="HD43" s="267"/>
      <c r="HE43" s="267"/>
      <c r="HF43" s="267"/>
      <c r="HG43" s="267"/>
      <c r="HH43" s="267"/>
      <c r="HI43" s="267"/>
      <c r="HJ43" s="267"/>
      <c r="HK43" s="267"/>
      <c r="HL43" s="267"/>
      <c r="HM43" s="267"/>
      <c r="HN43" s="267"/>
      <c r="HO43" s="267"/>
      <c r="HP43" s="267"/>
      <c r="HQ43" s="267"/>
      <c r="HR43" s="267"/>
      <c r="HS43" s="267"/>
      <c r="HT43" s="267"/>
      <c r="HU43" s="267"/>
      <c r="HV43" s="267"/>
      <c r="HW43" s="267"/>
      <c r="HX43" s="267"/>
      <c r="HY43" s="267"/>
      <c r="HZ43" s="267"/>
      <c r="IA43" s="267"/>
      <c r="IB43" s="267"/>
      <c r="IC43" s="267"/>
      <c r="ID43" s="267"/>
      <c r="IE43" s="267"/>
      <c r="IF43" s="267"/>
      <c r="IG43" s="267"/>
      <c r="IH43" s="267"/>
      <c r="II43" s="267"/>
      <c r="IJ43" s="267"/>
      <c r="IK43" s="267"/>
      <c r="IL43" s="267"/>
      <c r="IM43" s="267"/>
      <c r="IN43" s="267"/>
      <c r="IO43" s="267"/>
      <c r="IP43" s="267"/>
      <c r="IQ43" s="267"/>
      <c r="IR43" s="267"/>
      <c r="IS43" s="267"/>
      <c r="IT43" s="267"/>
      <c r="IU43" s="267"/>
      <c r="IV43" s="267"/>
    </row>
    <row r="44" spans="1:256" s="112" customFormat="1" ht="12.7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  <c r="FM44" s="267"/>
      <c r="FN44" s="267"/>
      <c r="FO44" s="267"/>
      <c r="FP44" s="267"/>
      <c r="FQ44" s="267"/>
      <c r="FR44" s="267"/>
      <c r="FS44" s="267"/>
      <c r="FT44" s="267"/>
      <c r="FU44" s="267"/>
      <c r="FV44" s="267"/>
      <c r="FW44" s="267"/>
      <c r="FX44" s="267"/>
      <c r="FY44" s="267"/>
      <c r="FZ44" s="267"/>
      <c r="GA44" s="267"/>
      <c r="GB44" s="267"/>
      <c r="GC44" s="267"/>
      <c r="GD44" s="267"/>
      <c r="GE44" s="267"/>
      <c r="GF44" s="267"/>
      <c r="GG44" s="267"/>
      <c r="GH44" s="267"/>
      <c r="GI44" s="267"/>
      <c r="GJ44" s="267"/>
      <c r="GK44" s="267"/>
      <c r="GL44" s="267"/>
      <c r="GM44" s="267"/>
      <c r="GN44" s="267"/>
      <c r="GO44" s="267"/>
      <c r="GP44" s="267"/>
      <c r="GQ44" s="267"/>
      <c r="GR44" s="267"/>
      <c r="GS44" s="267"/>
      <c r="GT44" s="267"/>
      <c r="GU44" s="267"/>
      <c r="GV44" s="267"/>
      <c r="GW44" s="267"/>
      <c r="GX44" s="267"/>
      <c r="GY44" s="267"/>
      <c r="GZ44" s="267"/>
      <c r="HA44" s="267"/>
      <c r="HB44" s="267"/>
      <c r="HC44" s="267"/>
      <c r="HD44" s="267"/>
      <c r="HE44" s="267"/>
      <c r="HF44" s="267"/>
      <c r="HG44" s="267"/>
      <c r="HH44" s="267"/>
      <c r="HI44" s="267"/>
      <c r="HJ44" s="267"/>
      <c r="HK44" s="267"/>
      <c r="HL44" s="267"/>
      <c r="HM44" s="267"/>
      <c r="HN44" s="267"/>
      <c r="HO44" s="267"/>
      <c r="HP44" s="267"/>
      <c r="HQ44" s="267"/>
      <c r="HR44" s="267"/>
      <c r="HS44" s="267"/>
      <c r="HT44" s="267"/>
      <c r="HU44" s="267"/>
      <c r="HV44" s="267"/>
      <c r="HW44" s="267"/>
      <c r="HX44" s="267"/>
      <c r="HY44" s="267"/>
      <c r="HZ44" s="267"/>
      <c r="IA44" s="267"/>
      <c r="IB44" s="267"/>
      <c r="IC44" s="267"/>
      <c r="ID44" s="267"/>
      <c r="IE44" s="267"/>
      <c r="IF44" s="267"/>
      <c r="IG44" s="267"/>
      <c r="IH44" s="267"/>
      <c r="II44" s="267"/>
      <c r="IJ44" s="267"/>
      <c r="IK44" s="267"/>
      <c r="IL44" s="267"/>
      <c r="IM44" s="267"/>
      <c r="IN44" s="267"/>
      <c r="IO44" s="267"/>
      <c r="IP44" s="267"/>
      <c r="IQ44" s="267"/>
      <c r="IR44" s="267"/>
      <c r="IS44" s="267"/>
      <c r="IT44" s="267"/>
      <c r="IU44" s="267"/>
      <c r="IV44" s="267"/>
    </row>
    <row r="45" spans="1:256" s="112" customFormat="1" ht="12.7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  <c r="FM45" s="267"/>
      <c r="FN45" s="267"/>
      <c r="FO45" s="267"/>
      <c r="FP45" s="267"/>
      <c r="FQ45" s="267"/>
      <c r="FR45" s="267"/>
      <c r="FS45" s="267"/>
      <c r="FT45" s="267"/>
      <c r="FU45" s="267"/>
      <c r="FV45" s="267"/>
      <c r="FW45" s="267"/>
      <c r="FX45" s="267"/>
      <c r="FY45" s="267"/>
      <c r="FZ45" s="267"/>
      <c r="GA45" s="267"/>
      <c r="GB45" s="267"/>
      <c r="GC45" s="267"/>
      <c r="GD45" s="267"/>
      <c r="GE45" s="267"/>
      <c r="GF45" s="267"/>
      <c r="GG45" s="267"/>
      <c r="GH45" s="267"/>
      <c r="GI45" s="267"/>
      <c r="GJ45" s="267"/>
      <c r="GK45" s="267"/>
      <c r="GL45" s="267"/>
      <c r="GM45" s="267"/>
      <c r="GN45" s="267"/>
      <c r="GO45" s="267"/>
      <c r="GP45" s="267"/>
      <c r="GQ45" s="267"/>
      <c r="GR45" s="267"/>
      <c r="GS45" s="267"/>
      <c r="GT45" s="267"/>
      <c r="GU45" s="267"/>
      <c r="GV45" s="267"/>
      <c r="GW45" s="267"/>
      <c r="GX45" s="267"/>
      <c r="GY45" s="267"/>
      <c r="GZ45" s="267"/>
      <c r="HA45" s="267"/>
      <c r="HB45" s="267"/>
      <c r="HC45" s="267"/>
      <c r="HD45" s="267"/>
      <c r="HE45" s="267"/>
      <c r="HF45" s="267"/>
      <c r="HG45" s="267"/>
      <c r="HH45" s="267"/>
      <c r="HI45" s="267"/>
      <c r="HJ45" s="267"/>
      <c r="HK45" s="267"/>
      <c r="HL45" s="267"/>
      <c r="HM45" s="267"/>
      <c r="HN45" s="267"/>
      <c r="HO45" s="267"/>
      <c r="HP45" s="267"/>
      <c r="HQ45" s="267"/>
      <c r="HR45" s="267"/>
      <c r="HS45" s="267"/>
      <c r="HT45" s="267"/>
      <c r="HU45" s="267"/>
      <c r="HV45" s="267"/>
      <c r="HW45" s="267"/>
      <c r="HX45" s="267"/>
      <c r="HY45" s="267"/>
      <c r="HZ45" s="267"/>
      <c r="IA45" s="267"/>
      <c r="IB45" s="267"/>
      <c r="IC45" s="267"/>
      <c r="ID45" s="267"/>
      <c r="IE45" s="267"/>
      <c r="IF45" s="267"/>
      <c r="IG45" s="267"/>
      <c r="IH45" s="267"/>
      <c r="II45" s="267"/>
      <c r="IJ45" s="267"/>
      <c r="IK45" s="267"/>
      <c r="IL45" s="267"/>
      <c r="IM45" s="267"/>
      <c r="IN45" s="267"/>
      <c r="IO45" s="267"/>
      <c r="IP45" s="267"/>
      <c r="IQ45" s="267"/>
      <c r="IR45" s="267"/>
      <c r="IS45" s="267"/>
      <c r="IT45" s="267"/>
      <c r="IU45" s="267"/>
      <c r="IV45" s="267"/>
    </row>
    <row r="46" spans="1:256" s="112" customFormat="1" ht="12.75" customHeigh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7"/>
      <c r="FI46" s="267"/>
      <c r="FJ46" s="267"/>
      <c r="FK46" s="267"/>
      <c r="FL46" s="267"/>
      <c r="FM46" s="267"/>
      <c r="FN46" s="267"/>
      <c r="FO46" s="267"/>
      <c r="FP46" s="267"/>
      <c r="FQ46" s="267"/>
      <c r="FR46" s="267"/>
      <c r="FS46" s="267"/>
      <c r="FT46" s="267"/>
      <c r="FU46" s="267"/>
      <c r="FV46" s="267"/>
      <c r="FW46" s="267"/>
      <c r="FX46" s="267"/>
      <c r="FY46" s="267"/>
      <c r="FZ46" s="267"/>
      <c r="GA46" s="267"/>
      <c r="GB46" s="267"/>
      <c r="GC46" s="267"/>
      <c r="GD46" s="267"/>
      <c r="GE46" s="267"/>
      <c r="GF46" s="267"/>
      <c r="GG46" s="267"/>
      <c r="GH46" s="267"/>
      <c r="GI46" s="267"/>
      <c r="GJ46" s="267"/>
      <c r="GK46" s="267"/>
      <c r="GL46" s="267"/>
      <c r="GM46" s="267"/>
      <c r="GN46" s="267"/>
      <c r="GO46" s="267"/>
      <c r="GP46" s="267"/>
      <c r="GQ46" s="267"/>
      <c r="GR46" s="267"/>
      <c r="GS46" s="267"/>
      <c r="GT46" s="267"/>
      <c r="GU46" s="267"/>
      <c r="GV46" s="267"/>
      <c r="GW46" s="267"/>
      <c r="GX46" s="267"/>
      <c r="GY46" s="267"/>
      <c r="GZ46" s="267"/>
      <c r="HA46" s="267"/>
      <c r="HB46" s="267"/>
      <c r="HC46" s="267"/>
      <c r="HD46" s="267"/>
      <c r="HE46" s="267"/>
      <c r="HF46" s="267"/>
      <c r="HG46" s="267"/>
      <c r="HH46" s="267"/>
      <c r="HI46" s="267"/>
      <c r="HJ46" s="267"/>
      <c r="HK46" s="267"/>
      <c r="HL46" s="267"/>
      <c r="HM46" s="267"/>
      <c r="HN46" s="267"/>
      <c r="HO46" s="267"/>
      <c r="HP46" s="267"/>
      <c r="HQ46" s="267"/>
      <c r="HR46" s="267"/>
      <c r="HS46" s="267"/>
      <c r="HT46" s="267"/>
      <c r="HU46" s="267"/>
      <c r="HV46" s="267"/>
      <c r="HW46" s="267"/>
      <c r="HX46" s="267"/>
      <c r="HY46" s="267"/>
      <c r="HZ46" s="267"/>
      <c r="IA46" s="267"/>
      <c r="IB46" s="267"/>
      <c r="IC46" s="267"/>
      <c r="ID46" s="267"/>
      <c r="IE46" s="267"/>
      <c r="IF46" s="267"/>
      <c r="IG46" s="267"/>
      <c r="IH46" s="267"/>
      <c r="II46" s="267"/>
      <c r="IJ46" s="267"/>
      <c r="IK46" s="267"/>
      <c r="IL46" s="267"/>
      <c r="IM46" s="267"/>
      <c r="IN46" s="267"/>
      <c r="IO46" s="267"/>
      <c r="IP46" s="267"/>
      <c r="IQ46" s="267"/>
      <c r="IR46" s="267"/>
      <c r="IS46" s="267"/>
      <c r="IT46" s="267"/>
      <c r="IU46" s="267"/>
      <c r="IV46" s="267"/>
    </row>
    <row r="47" spans="1:256" s="112" customFormat="1" ht="12.7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7"/>
      <c r="FW47" s="267"/>
      <c r="FX47" s="267"/>
      <c r="FY47" s="267"/>
      <c r="FZ47" s="267"/>
      <c r="GA47" s="267"/>
      <c r="GB47" s="267"/>
      <c r="GC47" s="267"/>
      <c r="GD47" s="267"/>
      <c r="GE47" s="267"/>
      <c r="GF47" s="267"/>
      <c r="GG47" s="267"/>
      <c r="GH47" s="267"/>
      <c r="GI47" s="267"/>
      <c r="GJ47" s="267"/>
      <c r="GK47" s="267"/>
      <c r="GL47" s="267"/>
      <c r="GM47" s="267"/>
      <c r="GN47" s="267"/>
      <c r="GO47" s="267"/>
      <c r="GP47" s="267"/>
      <c r="GQ47" s="267"/>
      <c r="GR47" s="267"/>
      <c r="GS47" s="267"/>
      <c r="GT47" s="267"/>
      <c r="GU47" s="267"/>
      <c r="GV47" s="267"/>
      <c r="GW47" s="267"/>
      <c r="GX47" s="267"/>
      <c r="GY47" s="267"/>
      <c r="GZ47" s="267"/>
      <c r="HA47" s="267"/>
      <c r="HB47" s="267"/>
      <c r="HC47" s="267"/>
      <c r="HD47" s="267"/>
      <c r="HE47" s="267"/>
      <c r="HF47" s="267"/>
      <c r="HG47" s="267"/>
      <c r="HH47" s="267"/>
      <c r="HI47" s="267"/>
      <c r="HJ47" s="267"/>
      <c r="HK47" s="267"/>
      <c r="HL47" s="267"/>
      <c r="HM47" s="267"/>
      <c r="HN47" s="267"/>
      <c r="HO47" s="267"/>
      <c r="HP47" s="267"/>
      <c r="HQ47" s="267"/>
      <c r="HR47" s="267"/>
      <c r="HS47" s="267"/>
      <c r="HT47" s="267"/>
      <c r="HU47" s="267"/>
      <c r="HV47" s="267"/>
      <c r="HW47" s="267"/>
      <c r="HX47" s="267"/>
      <c r="HY47" s="267"/>
      <c r="HZ47" s="267"/>
      <c r="IA47" s="267"/>
      <c r="IB47" s="267"/>
      <c r="IC47" s="267"/>
      <c r="ID47" s="267"/>
      <c r="IE47" s="267"/>
      <c r="IF47" s="267"/>
      <c r="IG47" s="267"/>
      <c r="IH47" s="267"/>
      <c r="II47" s="267"/>
      <c r="IJ47" s="267"/>
      <c r="IK47" s="267"/>
      <c r="IL47" s="267"/>
      <c r="IM47" s="267"/>
      <c r="IN47" s="267"/>
      <c r="IO47" s="267"/>
      <c r="IP47" s="267"/>
      <c r="IQ47" s="267"/>
      <c r="IR47" s="267"/>
      <c r="IS47" s="267"/>
      <c r="IT47" s="267"/>
      <c r="IU47" s="267"/>
      <c r="IV47" s="267"/>
    </row>
    <row r="48" spans="1:256" s="112" customFormat="1" ht="12.7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7"/>
      <c r="FI48" s="267"/>
      <c r="FJ48" s="267"/>
      <c r="FK48" s="267"/>
      <c r="FL48" s="267"/>
      <c r="FM48" s="267"/>
      <c r="FN48" s="267"/>
      <c r="FO48" s="267"/>
      <c r="FP48" s="267"/>
      <c r="FQ48" s="267"/>
      <c r="FR48" s="267"/>
      <c r="FS48" s="267"/>
      <c r="FT48" s="267"/>
      <c r="FU48" s="267"/>
      <c r="FV48" s="267"/>
      <c r="FW48" s="267"/>
      <c r="FX48" s="267"/>
      <c r="FY48" s="267"/>
      <c r="FZ48" s="267"/>
      <c r="GA48" s="267"/>
      <c r="GB48" s="267"/>
      <c r="GC48" s="267"/>
      <c r="GD48" s="267"/>
      <c r="GE48" s="267"/>
      <c r="GF48" s="267"/>
      <c r="GG48" s="267"/>
      <c r="GH48" s="267"/>
      <c r="GI48" s="267"/>
      <c r="GJ48" s="267"/>
      <c r="GK48" s="267"/>
      <c r="GL48" s="267"/>
      <c r="GM48" s="267"/>
      <c r="GN48" s="267"/>
      <c r="GO48" s="267"/>
      <c r="GP48" s="267"/>
      <c r="GQ48" s="267"/>
      <c r="GR48" s="267"/>
      <c r="GS48" s="267"/>
      <c r="GT48" s="267"/>
      <c r="GU48" s="267"/>
      <c r="GV48" s="267"/>
      <c r="GW48" s="267"/>
      <c r="GX48" s="267"/>
      <c r="GY48" s="267"/>
      <c r="GZ48" s="267"/>
      <c r="HA48" s="267"/>
      <c r="HB48" s="267"/>
      <c r="HC48" s="267"/>
      <c r="HD48" s="267"/>
      <c r="HE48" s="267"/>
      <c r="HF48" s="267"/>
      <c r="HG48" s="267"/>
      <c r="HH48" s="267"/>
      <c r="HI48" s="267"/>
      <c r="HJ48" s="267"/>
      <c r="HK48" s="267"/>
      <c r="HL48" s="267"/>
      <c r="HM48" s="267"/>
      <c r="HN48" s="267"/>
      <c r="HO48" s="267"/>
      <c r="HP48" s="267"/>
      <c r="HQ48" s="267"/>
      <c r="HR48" s="267"/>
      <c r="HS48" s="267"/>
      <c r="HT48" s="267"/>
      <c r="HU48" s="267"/>
      <c r="HV48" s="267"/>
      <c r="HW48" s="267"/>
      <c r="HX48" s="267"/>
      <c r="HY48" s="267"/>
      <c r="HZ48" s="267"/>
      <c r="IA48" s="267"/>
      <c r="IB48" s="267"/>
      <c r="IC48" s="267"/>
      <c r="ID48" s="267"/>
      <c r="IE48" s="267"/>
      <c r="IF48" s="267"/>
      <c r="IG48" s="267"/>
      <c r="IH48" s="267"/>
      <c r="II48" s="267"/>
      <c r="IJ48" s="267"/>
      <c r="IK48" s="267"/>
      <c r="IL48" s="267"/>
      <c r="IM48" s="267"/>
      <c r="IN48" s="267"/>
      <c r="IO48" s="267"/>
      <c r="IP48" s="267"/>
      <c r="IQ48" s="267"/>
      <c r="IR48" s="267"/>
      <c r="IS48" s="267"/>
      <c r="IT48" s="267"/>
      <c r="IU48" s="267"/>
      <c r="IV48" s="267"/>
    </row>
    <row r="49" spans="1:256" s="112" customFormat="1" ht="12.7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7"/>
      <c r="FI49" s="267"/>
      <c r="FJ49" s="267"/>
      <c r="FK49" s="267"/>
      <c r="FL49" s="267"/>
      <c r="FM49" s="267"/>
      <c r="FN49" s="267"/>
      <c r="FO49" s="267"/>
      <c r="FP49" s="267"/>
      <c r="FQ49" s="267"/>
      <c r="FR49" s="267"/>
      <c r="FS49" s="267"/>
      <c r="FT49" s="267"/>
      <c r="FU49" s="267"/>
      <c r="FV49" s="267"/>
      <c r="FW49" s="267"/>
      <c r="FX49" s="267"/>
      <c r="FY49" s="267"/>
      <c r="FZ49" s="267"/>
      <c r="GA49" s="267"/>
      <c r="GB49" s="267"/>
      <c r="GC49" s="267"/>
      <c r="GD49" s="267"/>
      <c r="GE49" s="267"/>
      <c r="GF49" s="267"/>
      <c r="GG49" s="267"/>
      <c r="GH49" s="267"/>
      <c r="GI49" s="267"/>
      <c r="GJ49" s="267"/>
      <c r="GK49" s="267"/>
      <c r="GL49" s="267"/>
      <c r="GM49" s="267"/>
      <c r="GN49" s="267"/>
      <c r="GO49" s="267"/>
      <c r="GP49" s="267"/>
      <c r="GQ49" s="267"/>
      <c r="GR49" s="267"/>
      <c r="GS49" s="267"/>
      <c r="GT49" s="267"/>
      <c r="GU49" s="267"/>
      <c r="GV49" s="267"/>
      <c r="GW49" s="267"/>
      <c r="GX49" s="267"/>
      <c r="GY49" s="267"/>
      <c r="GZ49" s="267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  <c r="HK49" s="267"/>
      <c r="HL49" s="267"/>
      <c r="HM49" s="267"/>
      <c r="HN49" s="267"/>
      <c r="HO49" s="267"/>
      <c r="HP49" s="267"/>
      <c r="HQ49" s="267"/>
      <c r="HR49" s="267"/>
      <c r="HS49" s="267"/>
      <c r="HT49" s="267"/>
      <c r="HU49" s="267"/>
      <c r="HV49" s="267"/>
      <c r="HW49" s="267"/>
      <c r="HX49" s="267"/>
      <c r="HY49" s="267"/>
      <c r="HZ49" s="267"/>
      <c r="IA49" s="267"/>
      <c r="IB49" s="267"/>
      <c r="IC49" s="267"/>
      <c r="ID49" s="267"/>
      <c r="IE49" s="267"/>
      <c r="IF49" s="267"/>
      <c r="IG49" s="267"/>
      <c r="IH49" s="267"/>
      <c r="II49" s="267"/>
      <c r="IJ49" s="267"/>
      <c r="IK49" s="267"/>
      <c r="IL49" s="267"/>
      <c r="IM49" s="267"/>
      <c r="IN49" s="267"/>
      <c r="IO49" s="267"/>
      <c r="IP49" s="267"/>
      <c r="IQ49" s="267"/>
      <c r="IR49" s="267"/>
      <c r="IS49" s="267"/>
      <c r="IT49" s="267"/>
      <c r="IU49" s="267"/>
      <c r="IV49" s="267"/>
    </row>
    <row r="50" spans="1:256" s="112" customFormat="1" ht="12.7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  <c r="FV50" s="267"/>
      <c r="FW50" s="267"/>
      <c r="FX50" s="267"/>
      <c r="FY50" s="267"/>
      <c r="FZ50" s="267"/>
      <c r="GA50" s="267"/>
      <c r="GB50" s="267"/>
      <c r="GC50" s="267"/>
      <c r="GD50" s="267"/>
      <c r="GE50" s="267"/>
      <c r="GF50" s="267"/>
      <c r="GG50" s="267"/>
      <c r="GH50" s="267"/>
      <c r="GI50" s="267"/>
      <c r="GJ50" s="267"/>
      <c r="GK50" s="267"/>
      <c r="GL50" s="267"/>
      <c r="GM50" s="267"/>
      <c r="GN50" s="267"/>
      <c r="GO50" s="267"/>
      <c r="GP50" s="267"/>
      <c r="GQ50" s="267"/>
      <c r="GR50" s="267"/>
      <c r="GS50" s="267"/>
      <c r="GT50" s="267"/>
      <c r="GU50" s="267"/>
      <c r="GV50" s="267"/>
      <c r="GW50" s="267"/>
      <c r="GX50" s="267"/>
      <c r="GY50" s="267"/>
      <c r="GZ50" s="267"/>
      <c r="HA50" s="267"/>
      <c r="HB50" s="267"/>
      <c r="HC50" s="267"/>
      <c r="HD50" s="267"/>
      <c r="HE50" s="267"/>
      <c r="HF50" s="267"/>
      <c r="HG50" s="267"/>
      <c r="HH50" s="267"/>
      <c r="HI50" s="267"/>
      <c r="HJ50" s="267"/>
      <c r="HK50" s="267"/>
      <c r="HL50" s="267"/>
      <c r="HM50" s="267"/>
      <c r="HN50" s="267"/>
      <c r="HO50" s="267"/>
      <c r="HP50" s="267"/>
      <c r="HQ50" s="267"/>
      <c r="HR50" s="267"/>
      <c r="HS50" s="267"/>
      <c r="HT50" s="267"/>
      <c r="HU50" s="267"/>
      <c r="HV50" s="267"/>
      <c r="HW50" s="267"/>
      <c r="HX50" s="267"/>
      <c r="HY50" s="267"/>
      <c r="HZ50" s="267"/>
      <c r="IA50" s="267"/>
      <c r="IB50" s="267"/>
      <c r="IC50" s="267"/>
      <c r="ID50" s="267"/>
      <c r="IE50" s="267"/>
      <c r="IF50" s="267"/>
      <c r="IG50" s="267"/>
      <c r="IH50" s="267"/>
      <c r="II50" s="267"/>
      <c r="IJ50" s="267"/>
      <c r="IK50" s="267"/>
      <c r="IL50" s="267"/>
      <c r="IM50" s="267"/>
      <c r="IN50" s="267"/>
      <c r="IO50" s="267"/>
      <c r="IP50" s="267"/>
      <c r="IQ50" s="267"/>
      <c r="IR50" s="267"/>
      <c r="IS50" s="267"/>
      <c r="IT50" s="267"/>
      <c r="IU50" s="267"/>
      <c r="IV50" s="267"/>
    </row>
    <row r="51" spans="1:256" s="112" customFormat="1" ht="12.75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  <c r="FF51" s="267"/>
      <c r="FG51" s="267"/>
      <c r="FH51" s="267"/>
      <c r="FI51" s="267"/>
      <c r="FJ51" s="267"/>
      <c r="FK51" s="267"/>
      <c r="FL51" s="267"/>
      <c r="FM51" s="267"/>
      <c r="FN51" s="267"/>
      <c r="FO51" s="267"/>
      <c r="FP51" s="267"/>
      <c r="FQ51" s="267"/>
      <c r="FR51" s="267"/>
      <c r="FS51" s="267"/>
      <c r="FT51" s="267"/>
      <c r="FU51" s="267"/>
      <c r="FV51" s="267"/>
      <c r="FW51" s="267"/>
      <c r="FX51" s="267"/>
      <c r="FY51" s="267"/>
      <c r="FZ51" s="267"/>
      <c r="GA51" s="267"/>
      <c r="GB51" s="267"/>
      <c r="GC51" s="267"/>
      <c r="GD51" s="267"/>
      <c r="GE51" s="267"/>
      <c r="GF51" s="267"/>
      <c r="GG51" s="267"/>
      <c r="GH51" s="267"/>
      <c r="GI51" s="267"/>
      <c r="GJ51" s="267"/>
      <c r="GK51" s="267"/>
      <c r="GL51" s="267"/>
      <c r="GM51" s="267"/>
      <c r="GN51" s="267"/>
      <c r="GO51" s="267"/>
      <c r="GP51" s="267"/>
      <c r="GQ51" s="267"/>
      <c r="GR51" s="267"/>
      <c r="GS51" s="267"/>
      <c r="GT51" s="267"/>
      <c r="GU51" s="267"/>
      <c r="GV51" s="267"/>
      <c r="GW51" s="267"/>
      <c r="GX51" s="267"/>
      <c r="GY51" s="267"/>
      <c r="GZ51" s="267"/>
      <c r="HA51" s="267"/>
      <c r="HB51" s="267"/>
      <c r="HC51" s="267"/>
      <c r="HD51" s="267"/>
      <c r="HE51" s="267"/>
      <c r="HF51" s="267"/>
      <c r="HG51" s="267"/>
      <c r="HH51" s="267"/>
      <c r="HI51" s="267"/>
      <c r="HJ51" s="267"/>
      <c r="HK51" s="267"/>
      <c r="HL51" s="267"/>
      <c r="HM51" s="267"/>
      <c r="HN51" s="267"/>
      <c r="HO51" s="267"/>
      <c r="HP51" s="267"/>
      <c r="HQ51" s="267"/>
      <c r="HR51" s="267"/>
      <c r="HS51" s="267"/>
      <c r="HT51" s="267"/>
      <c r="HU51" s="267"/>
      <c r="HV51" s="267"/>
      <c r="HW51" s="267"/>
      <c r="HX51" s="267"/>
      <c r="HY51" s="267"/>
      <c r="HZ51" s="267"/>
      <c r="IA51" s="267"/>
      <c r="IB51" s="267"/>
      <c r="IC51" s="267"/>
      <c r="ID51" s="267"/>
      <c r="IE51" s="267"/>
      <c r="IF51" s="267"/>
      <c r="IG51" s="267"/>
      <c r="IH51" s="267"/>
      <c r="II51" s="267"/>
      <c r="IJ51" s="267"/>
      <c r="IK51" s="267"/>
      <c r="IL51" s="267"/>
      <c r="IM51" s="267"/>
      <c r="IN51" s="267"/>
      <c r="IO51" s="267"/>
      <c r="IP51" s="267"/>
      <c r="IQ51" s="267"/>
      <c r="IR51" s="267"/>
      <c r="IS51" s="267"/>
      <c r="IT51" s="267"/>
      <c r="IU51" s="267"/>
      <c r="IV51" s="267"/>
    </row>
  </sheetData>
  <sheetProtection/>
  <mergeCells count="132">
    <mergeCell ref="E32:E35"/>
    <mergeCell ref="B12:B35"/>
    <mergeCell ref="D8:E10"/>
    <mergeCell ref="D12:D15"/>
    <mergeCell ref="D17:D20"/>
    <mergeCell ref="D22:D25"/>
    <mergeCell ref="D32:D35"/>
    <mergeCell ref="E12:E15"/>
    <mergeCell ref="E17:E20"/>
    <mergeCell ref="E22:E25"/>
    <mergeCell ref="B1:L1"/>
    <mergeCell ref="B8:B10"/>
    <mergeCell ref="B3:D3"/>
    <mergeCell ref="I3:I4"/>
    <mergeCell ref="J3:J4"/>
    <mergeCell ref="B5:B6"/>
    <mergeCell ref="D5:E6"/>
    <mergeCell ref="EN37:EN51"/>
    <mergeCell ref="EO37:EO51"/>
    <mergeCell ref="D27:D30"/>
    <mergeCell ref="E27:E30"/>
    <mergeCell ref="FT37:FT51"/>
    <mergeCell ref="FU37:FU51"/>
    <mergeCell ref="FV37:FV51"/>
    <mergeCell ref="FW37:FW51"/>
    <mergeCell ref="FX37:FX51"/>
    <mergeCell ref="FO37:FO51"/>
    <mergeCell ref="FP37:FP51"/>
    <mergeCell ref="FQ37:FQ51"/>
    <mergeCell ref="FR37:FR51"/>
    <mergeCell ref="FS37:FS51"/>
    <mergeCell ref="FJ37:FJ51"/>
    <mergeCell ref="FK37:FK51"/>
    <mergeCell ref="FL37:FL51"/>
    <mergeCell ref="FM37:FM51"/>
    <mergeCell ref="FN37:FN51"/>
    <mergeCell ref="FE37:FE51"/>
    <mergeCell ref="FF37:FF51"/>
    <mergeCell ref="FG37:FG51"/>
    <mergeCell ref="FH37:FH51"/>
    <mergeCell ref="FI37:FI51"/>
    <mergeCell ref="EZ37:EZ51"/>
    <mergeCell ref="FA37:FA51"/>
    <mergeCell ref="FB37:FB51"/>
    <mergeCell ref="FC37:FC51"/>
    <mergeCell ref="FD37:FD51"/>
    <mergeCell ref="EU37:EU51"/>
    <mergeCell ref="EV37:EV51"/>
    <mergeCell ref="EW37:EW51"/>
    <mergeCell ref="EX37:EX51"/>
    <mergeCell ref="EY37:EY51"/>
    <mergeCell ref="EP37:EP51"/>
    <mergeCell ref="EQ37:EQ51"/>
    <mergeCell ref="ER37:ER51"/>
    <mergeCell ref="ES37:ES51"/>
    <mergeCell ref="ET37:ET51"/>
    <mergeCell ref="HC37:HC51"/>
    <mergeCell ref="HD37:HD51"/>
    <mergeCell ref="HE37:HE51"/>
    <mergeCell ref="HF37:HF51"/>
    <mergeCell ref="HG37:HG51"/>
    <mergeCell ref="GX37:GX51"/>
    <mergeCell ref="GY37:GY51"/>
    <mergeCell ref="GZ37:GZ51"/>
    <mergeCell ref="HA37:HA51"/>
    <mergeCell ref="HB37:HB51"/>
    <mergeCell ref="GS37:GS51"/>
    <mergeCell ref="GT37:GT51"/>
    <mergeCell ref="GU37:GU51"/>
    <mergeCell ref="GV37:GV51"/>
    <mergeCell ref="GW37:GW51"/>
    <mergeCell ref="GN37:GN51"/>
    <mergeCell ref="GO37:GO51"/>
    <mergeCell ref="GP37:GP51"/>
    <mergeCell ref="GQ37:GQ51"/>
    <mergeCell ref="GR37:GR51"/>
    <mergeCell ref="GI37:GI51"/>
    <mergeCell ref="GJ37:GJ51"/>
    <mergeCell ref="GK37:GK51"/>
    <mergeCell ref="GL37:GL51"/>
    <mergeCell ref="GM37:GM51"/>
    <mergeCell ref="GD37:GD51"/>
    <mergeCell ref="GE37:GE51"/>
    <mergeCell ref="GF37:GF51"/>
    <mergeCell ref="GG37:GG51"/>
    <mergeCell ref="GH37:GH51"/>
    <mergeCell ref="FY37:FY51"/>
    <mergeCell ref="FZ37:FZ51"/>
    <mergeCell ref="GA37:GA51"/>
    <mergeCell ref="GB37:GB51"/>
    <mergeCell ref="GC37:GC51"/>
    <mergeCell ref="IL37:IL51"/>
    <mergeCell ref="IM37:IM51"/>
    <mergeCell ref="IN37:IN51"/>
    <mergeCell ref="IO37:IO51"/>
    <mergeCell ref="IP37:IP51"/>
    <mergeCell ref="IG37:IG51"/>
    <mergeCell ref="IH37:IH51"/>
    <mergeCell ref="II37:II51"/>
    <mergeCell ref="IJ37:IJ51"/>
    <mergeCell ref="IK37:IK51"/>
    <mergeCell ref="IB37:IB51"/>
    <mergeCell ref="IC37:IC51"/>
    <mergeCell ref="ID37:ID51"/>
    <mergeCell ref="IE37:IE51"/>
    <mergeCell ref="IF37:IF51"/>
    <mergeCell ref="HW37:HW51"/>
    <mergeCell ref="HX37:HX51"/>
    <mergeCell ref="HY37:HY51"/>
    <mergeCell ref="HZ37:HZ51"/>
    <mergeCell ref="IA37:IA51"/>
    <mergeCell ref="HR37:HR51"/>
    <mergeCell ref="HS37:HS51"/>
    <mergeCell ref="HT37:HT51"/>
    <mergeCell ref="HU37:HU51"/>
    <mergeCell ref="HV37:HV51"/>
    <mergeCell ref="HM37:HM51"/>
    <mergeCell ref="HN37:HN51"/>
    <mergeCell ref="HO37:HO51"/>
    <mergeCell ref="HP37:HP51"/>
    <mergeCell ref="HQ37:HQ51"/>
    <mergeCell ref="HH37:HH51"/>
    <mergeCell ref="HI37:HI51"/>
    <mergeCell ref="HJ37:HJ51"/>
    <mergeCell ref="HK37:HK51"/>
    <mergeCell ref="HL37:HL51"/>
    <mergeCell ref="IV37:IV51"/>
    <mergeCell ref="IQ37:IQ51"/>
    <mergeCell ref="IR37:IR51"/>
    <mergeCell ref="IS37:IS51"/>
    <mergeCell ref="IT37:IT51"/>
    <mergeCell ref="IU37:IU51"/>
  </mergeCells>
  <printOptions/>
  <pageMargins left="0.75" right="0.75" top="1" bottom="1" header="0.5" footer="0.5"/>
  <pageSetup fitToHeight="1" fitToWidth="1" horizontalDpi="200" verticalDpi="2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53"/>
  <sheetViews>
    <sheetView zoomScalePageLayoutView="0" workbookViewId="0" topLeftCell="A19">
      <selection activeCell="D18" sqref="D18:D21"/>
    </sheetView>
  </sheetViews>
  <sheetFormatPr defaultColWidth="9.140625" defaultRowHeight="12.75" outlineLevelRow="1" outlineLevelCol="1"/>
  <cols>
    <col min="1" max="1" width="7.8515625" style="25" customWidth="1"/>
    <col min="2" max="2" width="16.00390625" style="28" customWidth="1"/>
    <col min="3" max="3" width="2.140625" style="25" customWidth="1"/>
    <col min="4" max="4" width="25.8515625" style="25" customWidth="1"/>
    <col min="5" max="5" width="8.00390625" style="25" customWidth="1"/>
    <col min="6" max="6" width="2.140625" style="25" customWidth="1"/>
    <col min="7" max="7" width="36.57421875" style="25" customWidth="1"/>
    <col min="8" max="8" width="1.8515625" style="25" customWidth="1"/>
    <col min="9" max="9" width="12.00390625" style="25" customWidth="1" outlineLevel="1"/>
    <col min="10" max="10" width="11.7109375" style="25" customWidth="1" outlineLevel="1"/>
    <col min="11" max="11" width="1.8515625" style="25" customWidth="1" outlineLevel="1"/>
    <col min="12" max="13" width="9.140625" style="25" customWidth="1" outlineLevel="1"/>
    <col min="14" max="14" width="0.9921875" style="25" customWidth="1" outlineLevel="1"/>
    <col min="15" max="15" width="10.00390625" style="25" customWidth="1" outlineLevel="1"/>
    <col min="16" max="16" width="1.8515625" style="25" customWidth="1"/>
    <col min="17" max="17" width="12.00390625" style="112" customWidth="1" outlineLevel="1"/>
    <col min="18" max="18" width="11.7109375" style="112" customWidth="1" outlineLevel="1"/>
    <col min="19" max="19" width="1.8515625" style="112" customWidth="1" outlineLevel="1"/>
    <col min="20" max="21" width="9.140625" style="112" customWidth="1" outlineLevel="1"/>
    <col min="22" max="22" width="0.9921875" style="112" customWidth="1" outlineLevel="1"/>
    <col min="23" max="23" width="10.00390625" style="112" customWidth="1" outlineLevel="1"/>
    <col min="24" max="24" width="2.00390625" style="112" customWidth="1"/>
    <col min="25" max="25" width="12.00390625" style="112" customWidth="1" outlineLevel="1"/>
    <col min="26" max="26" width="11.7109375" style="112" customWidth="1" outlineLevel="1"/>
    <col min="27" max="27" width="1.8515625" style="112" customWidth="1" outlineLevel="1"/>
    <col min="28" max="29" width="9.140625" style="112" customWidth="1" outlineLevel="1"/>
    <col min="30" max="30" width="0.9921875" style="112" customWidth="1" outlineLevel="1"/>
    <col min="31" max="31" width="10.00390625" style="112" customWidth="1" outlineLevel="1"/>
    <col min="32" max="16384" width="9.140625" style="25" customWidth="1"/>
  </cols>
  <sheetData>
    <row r="1" spans="2:31" ht="20.25">
      <c r="B1" s="277" t="str">
        <f>PROJECT_NAME</f>
        <v>Information, Counselling and Legal Assistance for the protection of Palestinians affected by or at risk of displacement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5"/>
    </row>
    <row r="3" spans="2:31" ht="15.75">
      <c r="B3" s="271" t="s">
        <v>30</v>
      </c>
      <c r="C3" s="271"/>
      <c r="D3" s="271"/>
      <c r="E3" s="271"/>
      <c r="F3" s="26"/>
      <c r="G3" s="50" t="s">
        <v>29</v>
      </c>
      <c r="H3" s="26"/>
      <c r="I3" s="52" t="s">
        <v>2</v>
      </c>
      <c r="J3" s="52" t="s">
        <v>3</v>
      </c>
      <c r="K3" s="26"/>
      <c r="L3" s="52" t="s">
        <v>40</v>
      </c>
      <c r="M3" s="52"/>
      <c r="N3" s="52"/>
      <c r="O3" s="120" t="s">
        <v>60</v>
      </c>
      <c r="P3" s="26"/>
      <c r="Q3" s="109" t="s">
        <v>2</v>
      </c>
      <c r="R3" s="109" t="s">
        <v>3</v>
      </c>
      <c r="S3" s="26"/>
      <c r="T3" s="109" t="s">
        <v>40</v>
      </c>
      <c r="U3" s="109"/>
      <c r="V3" s="109"/>
      <c r="W3" s="120" t="s">
        <v>60</v>
      </c>
      <c r="X3" s="126"/>
      <c r="Y3" s="109" t="s">
        <v>2</v>
      </c>
      <c r="Z3" s="109" t="s">
        <v>3</v>
      </c>
      <c r="AA3" s="26"/>
      <c r="AB3" s="109" t="s">
        <v>40</v>
      </c>
      <c r="AC3" s="109"/>
      <c r="AD3" s="109"/>
      <c r="AE3" s="120" t="s">
        <v>60</v>
      </c>
    </row>
    <row r="4" spans="2:31" ht="15.75">
      <c r="B4" s="50"/>
      <c r="C4" s="50"/>
      <c r="D4" s="50"/>
      <c r="E4" s="50"/>
      <c r="F4" s="26"/>
      <c r="G4" s="50"/>
      <c r="H4" s="26"/>
      <c r="I4" s="272" t="str">
        <f>RIGHT(Logframe!E2,4)</f>
        <v>2013</v>
      </c>
      <c r="J4" s="272"/>
      <c r="K4" s="26"/>
      <c r="L4" s="52" t="str">
        <f>RIGHT(I4,4)</f>
        <v>2013</v>
      </c>
      <c r="M4" s="26"/>
      <c r="N4" s="26"/>
      <c r="O4" s="120" t="str">
        <f>L4</f>
        <v>2013</v>
      </c>
      <c r="P4" s="26"/>
      <c r="Q4" s="272" t="str">
        <f>RIGHT(Logframe!F2,4)</f>
        <v>2014</v>
      </c>
      <c r="R4" s="272"/>
      <c r="S4" s="26"/>
      <c r="T4" s="109" t="str">
        <f>RIGHT(Q4,4)</f>
        <v>2014</v>
      </c>
      <c r="U4" s="26"/>
      <c r="V4" s="26"/>
      <c r="W4" s="120" t="str">
        <f>T4</f>
        <v>2014</v>
      </c>
      <c r="X4" s="127"/>
      <c r="Y4" s="272" t="str">
        <f>Logframe!G2</f>
        <v>Target 2014</v>
      </c>
      <c r="Z4" s="272"/>
      <c r="AA4" s="26"/>
      <c r="AB4" s="109" t="str">
        <f>RIGHT(Y4,4)</f>
        <v>2014</v>
      </c>
      <c r="AC4" s="26"/>
      <c r="AD4" s="26"/>
      <c r="AE4" s="120" t="str">
        <f>AB4</f>
        <v>2014</v>
      </c>
    </row>
    <row r="5" spans="8:31" ht="20.25"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2:31" ht="30.75" customHeight="1">
      <c r="B6" s="273" t="s">
        <v>1</v>
      </c>
      <c r="D6" s="266" t="str">
        <f>IMPACT</f>
        <v>Reduced poverty &amp; vulnerability of Palestinians in the OPTs and the region.   </v>
      </c>
      <c r="E6" s="266"/>
      <c r="F6" s="40"/>
      <c r="G6" s="104" t="str">
        <f>Impact_Indicator_1</f>
        <v>Depth of poverty: Poverty gap index</v>
      </c>
      <c r="H6" s="40"/>
      <c r="I6" s="100">
        <f>Impact_1_Planned_2013</f>
        <v>0</v>
      </c>
      <c r="J6" s="100">
        <f>Impact_1_Achieved_2013</f>
        <v>0</v>
      </c>
      <c r="K6" s="40"/>
      <c r="L6" s="40"/>
      <c r="M6" s="40"/>
      <c r="N6" s="40"/>
      <c r="O6" s="40"/>
      <c r="P6" s="40"/>
      <c r="Q6" s="100">
        <f>Impact_1_Planned_2014</f>
        <v>0</v>
      </c>
      <c r="R6" s="100">
        <f>Impact_1_Achieved_2014</f>
        <v>0</v>
      </c>
      <c r="S6" s="111"/>
      <c r="T6" s="111"/>
      <c r="U6" s="111"/>
      <c r="V6" s="111"/>
      <c r="W6" s="111"/>
      <c r="X6" s="111"/>
      <c r="Y6" s="142">
        <f>Impact_1_Planned_2015</f>
        <v>0</v>
      </c>
      <c r="Z6" s="100">
        <f>Impact_1_Achieved_2015</f>
        <v>0</v>
      </c>
      <c r="AA6" s="111"/>
      <c r="AB6" s="111"/>
      <c r="AC6" s="111"/>
      <c r="AD6" s="111"/>
      <c r="AE6" s="111"/>
    </row>
    <row r="7" spans="2:31" ht="33.75" customHeight="1" outlineLevel="1">
      <c r="B7" s="273"/>
      <c r="D7" s="266"/>
      <c r="E7" s="266"/>
      <c r="F7" s="40"/>
      <c r="G7" s="104" t="str">
        <f>Impact_Indicator_2</f>
        <v>Number of demolitions (tbc)</v>
      </c>
      <c r="H7" s="40"/>
      <c r="I7" s="100">
        <f>Impact_2_Planned_2013</f>
        <v>0</v>
      </c>
      <c r="J7" s="100">
        <f>Impact_2_Achieved_2013</f>
        <v>0</v>
      </c>
      <c r="K7" s="40"/>
      <c r="L7" s="40"/>
      <c r="M7" s="40"/>
      <c r="N7" s="40"/>
      <c r="O7" s="40"/>
      <c r="P7" s="40"/>
      <c r="Q7" s="100">
        <f>Impact_2_Planned_2014</f>
        <v>0</v>
      </c>
      <c r="R7" s="100">
        <f>Impact_2_Achieved_2014</f>
        <v>0</v>
      </c>
      <c r="S7" s="111"/>
      <c r="T7" s="111"/>
      <c r="U7" s="111"/>
      <c r="V7" s="111"/>
      <c r="W7" s="111"/>
      <c r="X7" s="111"/>
      <c r="Y7" s="100">
        <f>Impact_2_Planned_2015</f>
        <v>0</v>
      </c>
      <c r="Z7" s="100">
        <f>Impact_2_Achieved_2015</f>
        <v>0</v>
      </c>
      <c r="AA7" s="111"/>
      <c r="AB7" s="111"/>
      <c r="AC7" s="111"/>
      <c r="AD7" s="111"/>
      <c r="AE7" s="111"/>
    </row>
    <row r="8" spans="2:31" ht="3" customHeight="1">
      <c r="B8" s="30"/>
      <c r="D8" s="40"/>
      <c r="E8" s="40"/>
      <c r="F8" s="40"/>
      <c r="G8" s="101"/>
      <c r="H8" s="40"/>
      <c r="I8" s="101"/>
      <c r="J8" s="101"/>
      <c r="K8" s="40"/>
      <c r="L8" s="40"/>
      <c r="M8" s="40"/>
      <c r="N8" s="40"/>
      <c r="O8" s="40"/>
      <c r="P8" s="40"/>
      <c r="Q8" s="101"/>
      <c r="R8" s="101"/>
      <c r="S8" s="111"/>
      <c r="T8" s="111"/>
      <c r="U8" s="111"/>
      <c r="V8" s="111"/>
      <c r="W8" s="111"/>
      <c r="X8" s="111"/>
      <c r="Y8" s="101"/>
      <c r="Z8" s="101"/>
      <c r="AA8" s="111"/>
      <c r="AB8" s="111"/>
      <c r="AC8" s="111"/>
      <c r="AD8" s="111"/>
      <c r="AE8" s="111"/>
    </row>
    <row r="9" spans="2:31" ht="58.5" customHeight="1">
      <c r="B9" s="269" t="s">
        <v>5</v>
      </c>
      <c r="D9" s="266" t="str">
        <f>OUTCOME</f>
        <v>Palestinians at risk of displacement within the oPt are better able to uphold their housing land and property rights through provision of legal aid services and increased access to justice .</v>
      </c>
      <c r="E9" s="266"/>
      <c r="F9" s="40"/>
      <c r="G9" s="104" t="str">
        <f>Outcome_Indicator_1</f>
        <v>% of households in Area C and East Jerusalem who receive a temporary suspension of demolition order due to legal representation provided through NRC</v>
      </c>
      <c r="H9" s="40"/>
      <c r="I9" s="171">
        <f>Outcome_1_Planned_2013</f>
        <v>0.95</v>
      </c>
      <c r="J9" s="172">
        <f>Outcome_1_Achieved_2013</f>
        <v>0</v>
      </c>
      <c r="K9" s="40"/>
      <c r="L9" s="274" t="s">
        <v>54</v>
      </c>
      <c r="M9" s="40"/>
      <c r="N9" s="40"/>
      <c r="O9" s="274"/>
      <c r="P9" s="40"/>
      <c r="Q9" s="102">
        <f>Outcome_1_Planned_2014</f>
        <v>0</v>
      </c>
      <c r="R9" s="103">
        <f>Outcome_1_Achieved_2014</f>
        <v>0</v>
      </c>
      <c r="S9" s="111"/>
      <c r="T9" s="274" t="s">
        <v>54</v>
      </c>
      <c r="U9" s="111"/>
      <c r="V9" s="111"/>
      <c r="W9" s="274"/>
      <c r="X9" s="111"/>
      <c r="Y9" s="102">
        <f>Outcome_1_Planned_2015</f>
        <v>0.95</v>
      </c>
      <c r="Z9" s="103">
        <f>Outcome_1_Achieved_2015</f>
        <v>0</v>
      </c>
      <c r="AA9" s="111"/>
      <c r="AB9" s="274" t="s">
        <v>54</v>
      </c>
      <c r="AC9" s="111"/>
      <c r="AD9" s="111"/>
      <c r="AE9" s="274"/>
    </row>
    <row r="10" spans="2:31" ht="59.25" customHeight="1" outlineLevel="1">
      <c r="B10" s="269"/>
      <c r="D10" s="266"/>
      <c r="E10" s="266"/>
      <c r="F10" s="40"/>
      <c r="G10" s="104" t="str">
        <f>Outcome_Indicator_2</f>
        <v>% of beneficiaries participating in  information sessions who report the information presented will assist them in their daily lives  (sex disaggregated)</v>
      </c>
      <c r="H10" s="40"/>
      <c r="I10" s="102">
        <f>Outcome_2_Planned_2013</f>
        <v>0</v>
      </c>
      <c r="J10" s="103">
        <f>Outcome_2_Achieved_2013</f>
        <v>0</v>
      </c>
      <c r="K10" s="40"/>
      <c r="L10" s="274"/>
      <c r="M10" s="40"/>
      <c r="N10" s="40"/>
      <c r="O10" s="274"/>
      <c r="P10" s="40"/>
      <c r="Q10" s="102">
        <f>Outcome_2_Planned_2014</f>
        <v>0</v>
      </c>
      <c r="R10" s="103">
        <f>Outcome_2_Achieved_2014</f>
        <v>0</v>
      </c>
      <c r="S10" s="111"/>
      <c r="T10" s="274"/>
      <c r="U10" s="111"/>
      <c r="V10" s="111"/>
      <c r="W10" s="274"/>
      <c r="X10" s="111"/>
      <c r="Y10" s="102" t="str">
        <f>Outcome_2_Planned_2015</f>
        <v>at least 50%</v>
      </c>
      <c r="Z10" s="103">
        <f>Outcome_2_Achieved_2015</f>
        <v>0</v>
      </c>
      <c r="AA10" s="111"/>
      <c r="AB10" s="274"/>
      <c r="AC10" s="111"/>
      <c r="AD10" s="111"/>
      <c r="AE10" s="274"/>
    </row>
    <row r="11" spans="2:31" ht="58.5" customHeight="1" outlineLevel="1">
      <c r="B11" s="269"/>
      <c r="D11" s="266"/>
      <c r="E11" s="266"/>
      <c r="F11" s="40"/>
      <c r="G11" s="104" t="str">
        <f>Outcome_Indicator_3</f>
        <v>Number of  cases of positive action taken as a result of information received from NRC in an effort to reduce forced displacement (weighted measure)</v>
      </c>
      <c r="H11" s="40"/>
      <c r="I11" s="102">
        <f>Outcome_3_Planned_2013</f>
        <v>0</v>
      </c>
      <c r="J11" s="104">
        <f>Outcome_3_Achieved_2013</f>
        <v>0</v>
      </c>
      <c r="K11" s="40"/>
      <c r="L11" s="274"/>
      <c r="M11" s="40"/>
      <c r="N11" s="40"/>
      <c r="O11" s="274"/>
      <c r="P11" s="40"/>
      <c r="Q11" s="102">
        <f>Outcome_3_Planned_2014</f>
        <v>0</v>
      </c>
      <c r="R11" s="104">
        <f>Outcome_3_Achieved_2014</f>
        <v>0</v>
      </c>
      <c r="S11" s="111"/>
      <c r="T11" s="274"/>
      <c r="U11" s="111"/>
      <c r="V11" s="111"/>
      <c r="W11" s="274"/>
      <c r="X11" s="111"/>
      <c r="Y11" s="102">
        <f>Outcome_3_Planned_2015</f>
        <v>0</v>
      </c>
      <c r="Z11" s="104">
        <f>Outcome_3_Achieved_2015</f>
        <v>0</v>
      </c>
      <c r="AA11" s="111"/>
      <c r="AB11" s="274"/>
      <c r="AC11" s="111"/>
      <c r="AD11" s="111"/>
      <c r="AE11" s="274"/>
    </row>
    <row r="12" spans="2:31" ht="2.25" customHeight="1">
      <c r="B12" s="32"/>
      <c r="D12" s="40"/>
      <c r="E12" s="40"/>
      <c r="F12" s="40"/>
      <c r="G12" s="105"/>
      <c r="H12" s="40"/>
      <c r="I12" s="101"/>
      <c r="J12" s="105"/>
      <c r="K12" s="40"/>
      <c r="L12" s="76"/>
      <c r="M12" s="40"/>
      <c r="N12" s="40"/>
      <c r="O12" s="40"/>
      <c r="P12" s="40"/>
      <c r="Q12" s="101"/>
      <c r="R12" s="105"/>
      <c r="S12" s="111"/>
      <c r="T12" s="76"/>
      <c r="U12" s="111"/>
      <c r="V12" s="111"/>
      <c r="W12" s="111"/>
      <c r="X12" s="111"/>
      <c r="Y12" s="101"/>
      <c r="Z12" s="105"/>
      <c r="AA12" s="111"/>
      <c r="AB12" s="76"/>
      <c r="AC12" s="111"/>
      <c r="AD12" s="111"/>
      <c r="AE12" s="111"/>
    </row>
    <row r="13" spans="2:31" ht="29.25" customHeight="1">
      <c r="B13" s="269" t="s">
        <v>28</v>
      </c>
      <c r="D13" s="266" t="str">
        <f>OUTPUT_1</f>
        <v>Emergency Legal Response - Provision of emergency legal counselling to Palestinians at risk of displacement in Area C, East Jerusalem and Gaza.  </v>
      </c>
      <c r="E13" s="268">
        <f>IMPACT_WEIGHTING_1</f>
        <v>0.3</v>
      </c>
      <c r="F13" s="51"/>
      <c r="G13" s="104" t="str">
        <f>Output_Indicator_1.1</f>
        <v>Number of households receiving legal counselling on HLP issues </v>
      </c>
      <c r="H13" s="40"/>
      <c r="I13" s="102">
        <f>Output_1.1_Planned_2013</f>
        <v>0</v>
      </c>
      <c r="J13" s="104">
        <f>Output_2.1_Achieved_2013</f>
        <v>0</v>
      </c>
      <c r="K13" s="40"/>
      <c r="L13" s="275" t="s">
        <v>54</v>
      </c>
      <c r="M13" s="276">
        <f>VLOOKUP(L13,$B$40:$F$46,3,FALSE)</f>
        <v>0</v>
      </c>
      <c r="N13" s="68"/>
      <c r="O13" s="278"/>
      <c r="P13" s="40"/>
      <c r="Q13" s="102">
        <f>Output_1.1_Planned_2014</f>
        <v>0</v>
      </c>
      <c r="R13" s="104">
        <f>Output_2.1_Achieved_2014</f>
        <v>0</v>
      </c>
      <c r="S13" s="111"/>
      <c r="T13" s="275" t="s">
        <v>54</v>
      </c>
      <c r="U13" s="276">
        <f>VLOOKUP(T13,$B$40:$F$46,3,FALSE)</f>
        <v>0</v>
      </c>
      <c r="V13" s="113"/>
      <c r="W13" s="278"/>
      <c r="Y13" s="102">
        <f>Output_1.1_Planned_2015</f>
        <v>0</v>
      </c>
      <c r="Z13" s="104">
        <f>Output_2.1_Achieved_2015</f>
        <v>0</v>
      </c>
      <c r="AA13" s="111"/>
      <c r="AB13" s="275" t="s">
        <v>54</v>
      </c>
      <c r="AC13" s="276">
        <f>VLOOKUP(AB13,$B$40:$F$46,3,FALSE)</f>
        <v>0</v>
      </c>
      <c r="AD13" s="113"/>
      <c r="AE13" s="278"/>
    </row>
    <row r="14" spans="2:31" ht="30.75" customHeight="1" outlineLevel="1">
      <c r="B14" s="269"/>
      <c r="D14" s="266"/>
      <c r="E14" s="268"/>
      <c r="F14" s="51"/>
      <c r="G14" s="104" t="str">
        <f>Output_Indicator_1.2</f>
        <v>Number of opened  and ongoing cases of legal assistance </v>
      </c>
      <c r="H14" s="40"/>
      <c r="I14" s="102">
        <f>Output_1.2_Planned_2013</f>
        <v>0</v>
      </c>
      <c r="J14" s="104">
        <f>Output_1.2_Achieved_2013</f>
        <v>0</v>
      </c>
      <c r="K14" s="40"/>
      <c r="L14" s="274"/>
      <c r="M14" s="276"/>
      <c r="N14" s="68"/>
      <c r="O14" s="278"/>
      <c r="P14" s="40"/>
      <c r="Q14" s="102">
        <f>Output_1.2_Planned_2014</f>
        <v>0</v>
      </c>
      <c r="R14" s="104">
        <f>Output_1.2_Achieved_2014</f>
        <v>0</v>
      </c>
      <c r="S14" s="111"/>
      <c r="T14" s="275"/>
      <c r="U14" s="276"/>
      <c r="V14" s="113"/>
      <c r="W14" s="278"/>
      <c r="Y14" s="102">
        <f>Output_1.2_Planned_2015</f>
        <v>0</v>
      </c>
      <c r="Z14" s="104">
        <f>Output_1.2_Achieved_2015</f>
        <v>0</v>
      </c>
      <c r="AA14" s="111"/>
      <c r="AB14" s="274"/>
      <c r="AC14" s="276"/>
      <c r="AD14" s="113"/>
      <c r="AE14" s="278"/>
    </row>
    <row r="15" spans="2:31" s="124" customFormat="1" ht="43.5" customHeight="1" outlineLevel="1">
      <c r="B15" s="269"/>
      <c r="D15" s="266"/>
      <c r="E15" s="268"/>
      <c r="F15" s="121"/>
      <c r="G15" s="104" t="str">
        <f>Output_Indicator_1.3</f>
        <v>Percentage of beneficiaries who are at least satisfied with quality of services provided </v>
      </c>
      <c r="H15" s="122"/>
      <c r="I15" s="102">
        <f>Output_1.3_Planned_2013</f>
        <v>0</v>
      </c>
      <c r="J15" s="104">
        <f>Output_1.3_Achieved_2013</f>
        <v>0</v>
      </c>
      <c r="K15" s="122"/>
      <c r="L15" s="274"/>
      <c r="M15" s="276"/>
      <c r="N15" s="123"/>
      <c r="O15" s="278"/>
      <c r="P15" s="122"/>
      <c r="Q15" s="102">
        <f>Output_1.3_Planned_2014</f>
        <v>0</v>
      </c>
      <c r="R15" s="104">
        <f>Output_1.3_Achieved_2014</f>
        <v>0</v>
      </c>
      <c r="S15" s="122"/>
      <c r="T15" s="275"/>
      <c r="U15" s="276"/>
      <c r="V15" s="123"/>
      <c r="W15" s="278"/>
      <c r="Y15" s="102">
        <f>Output_1.3_Planned_2015</f>
        <v>0</v>
      </c>
      <c r="Z15" s="104">
        <f>Output_1.3_Achieved_2015</f>
        <v>0</v>
      </c>
      <c r="AA15" s="122"/>
      <c r="AB15" s="274"/>
      <c r="AC15" s="276"/>
      <c r="AD15" s="123"/>
      <c r="AE15" s="278"/>
    </row>
    <row r="16" spans="2:31" ht="38.25" outlineLevel="1">
      <c r="B16" s="269"/>
      <c r="D16" s="266"/>
      <c r="E16" s="268"/>
      <c r="F16" s="51"/>
      <c r="G16" s="104" t="str">
        <f>Output_Indicator_1.4</f>
        <v>Number of Palestinians who receive legal services following potential HLP violations in the Gaza Access Restricted Area</v>
      </c>
      <c r="H16" s="40"/>
      <c r="I16" s="102">
        <f>Output_1.4_Planned_2013</f>
        <v>0</v>
      </c>
      <c r="J16" s="102">
        <f>Output_1.4_Achieved_2013</f>
        <v>0</v>
      </c>
      <c r="K16" s="40"/>
      <c r="L16" s="274"/>
      <c r="M16" s="276"/>
      <c r="N16" s="68"/>
      <c r="O16" s="278"/>
      <c r="P16" s="40"/>
      <c r="Q16" s="102">
        <f>Output_1.4_Planned_2014</f>
        <v>0</v>
      </c>
      <c r="R16" s="102">
        <f>Output_1.4_Achieved_2014</f>
        <v>0</v>
      </c>
      <c r="S16" s="111"/>
      <c r="T16" s="275"/>
      <c r="U16" s="276"/>
      <c r="V16" s="113"/>
      <c r="W16" s="278"/>
      <c r="Y16" s="102">
        <f>Output_1.4_Planned_2015</f>
        <v>0</v>
      </c>
      <c r="Z16" s="102">
        <f>Output_1.4_Achieved_2015</f>
        <v>0</v>
      </c>
      <c r="AA16" s="111"/>
      <c r="AB16" s="274"/>
      <c r="AC16" s="276"/>
      <c r="AD16" s="113"/>
      <c r="AE16" s="278"/>
    </row>
    <row r="17" spans="2:31" ht="2.25" customHeight="1">
      <c r="B17" s="269"/>
      <c r="D17" s="60"/>
      <c r="E17" s="60"/>
      <c r="F17" s="51"/>
      <c r="G17" s="101"/>
      <c r="H17" s="40"/>
      <c r="I17" s="101"/>
      <c r="J17" s="101"/>
      <c r="K17" s="40"/>
      <c r="L17" s="40"/>
      <c r="M17" s="68"/>
      <c r="N17" s="68"/>
      <c r="O17" s="40"/>
      <c r="P17" s="40"/>
      <c r="Q17" s="101"/>
      <c r="R17" s="101"/>
      <c r="S17" s="111"/>
      <c r="T17" s="140"/>
      <c r="U17" s="113"/>
      <c r="V17" s="113"/>
      <c r="W17" s="111"/>
      <c r="X17" s="111"/>
      <c r="Y17" s="101"/>
      <c r="Z17" s="101"/>
      <c r="AA17" s="111"/>
      <c r="AB17" s="111"/>
      <c r="AC17" s="113"/>
      <c r="AD17" s="113"/>
      <c r="AE17" s="111"/>
    </row>
    <row r="18" spans="2:31" ht="38.25">
      <c r="B18" s="269"/>
      <c r="D18" s="266" t="str">
        <f>OUTPUT_2</f>
        <v>Preventative Legal Response  A longer term legal strategy that helps to prevent demolitions and displacement</v>
      </c>
      <c r="E18" s="268">
        <f>IMPACT_WEIGHTING_2</f>
        <v>0.3</v>
      </c>
      <c r="F18" s="51"/>
      <c r="G18" s="104" t="str">
        <f>Output_Indicator_2.1</f>
        <v>Number of discriminatory laws, policies or practices exposed through public interest cases</v>
      </c>
      <c r="H18" s="40"/>
      <c r="I18" s="102">
        <f>Output_2.1_Planned_2013</f>
        <v>0</v>
      </c>
      <c r="J18" s="104">
        <f>Output_2.1_Achieved_2013</f>
        <v>0</v>
      </c>
      <c r="K18" s="40"/>
      <c r="L18" s="274" t="s">
        <v>54</v>
      </c>
      <c r="M18" s="276">
        <f>VLOOKUP(L18,$B$40:$F$46,3,FALSE)</f>
        <v>0</v>
      </c>
      <c r="N18" s="68"/>
      <c r="O18" s="274"/>
      <c r="P18" s="40"/>
      <c r="Q18" s="102">
        <f>Output_2.1_Planned_2014</f>
        <v>0</v>
      </c>
      <c r="R18" s="104">
        <f>Output_2.1_Achieved_2014</f>
        <v>0</v>
      </c>
      <c r="S18" s="111"/>
      <c r="T18" s="274" t="s">
        <v>54</v>
      </c>
      <c r="U18" s="276">
        <f>VLOOKUP(T18,$B$40:$F$46,3,FALSE)</f>
        <v>0</v>
      </c>
      <c r="V18" s="113"/>
      <c r="W18" s="274"/>
      <c r="X18" s="111"/>
      <c r="Y18" s="102">
        <f>Output_2.1_Planned_2015</f>
        <v>0</v>
      </c>
      <c r="Z18" s="104">
        <f>Output_2.1_Achieved_2015</f>
        <v>0</v>
      </c>
      <c r="AA18" s="111"/>
      <c r="AB18" s="274" t="s">
        <v>54</v>
      </c>
      <c r="AC18" s="276">
        <f>VLOOKUP(AB18,$B$40:$F$46,3,FALSE)</f>
        <v>0</v>
      </c>
      <c r="AD18" s="113"/>
      <c r="AE18" s="274"/>
    </row>
    <row r="19" spans="2:31" ht="32.25" customHeight="1" outlineLevel="1">
      <c r="B19" s="269"/>
      <c r="D19" s="266"/>
      <c r="E19" s="268"/>
      <c r="F19" s="51"/>
      <c r="G19" s="104" t="str">
        <f>Output_Indicator_2.2</f>
        <v>Number of lawyers receiving training (sex disaggregated)</v>
      </c>
      <c r="H19" s="40"/>
      <c r="I19" s="102">
        <f>Output_2.2_Planned_2013</f>
        <v>0</v>
      </c>
      <c r="J19" s="104">
        <f>Output_2.2_Achieved_2013</f>
        <v>0</v>
      </c>
      <c r="K19" s="40"/>
      <c r="L19" s="274"/>
      <c r="M19" s="276"/>
      <c r="N19" s="68"/>
      <c r="O19" s="274"/>
      <c r="P19" s="40"/>
      <c r="Q19" s="102">
        <f>Output_2.2_Planned_2014</f>
        <v>0</v>
      </c>
      <c r="R19" s="104">
        <f>Output_2.2_Achieved_2014</f>
        <v>0</v>
      </c>
      <c r="S19" s="111"/>
      <c r="T19" s="274"/>
      <c r="U19" s="276"/>
      <c r="V19" s="113"/>
      <c r="W19" s="274"/>
      <c r="X19" s="111"/>
      <c r="Y19" s="102">
        <f>Output_2.2_Planned_2015</f>
        <v>0</v>
      </c>
      <c r="Z19" s="104">
        <f>Output_2.2_Achieved_2015</f>
        <v>0</v>
      </c>
      <c r="AA19" s="111"/>
      <c r="AB19" s="274"/>
      <c r="AC19" s="276"/>
      <c r="AD19" s="113"/>
      <c r="AE19" s="274"/>
    </row>
    <row r="20" spans="2:31" s="124" customFormat="1" ht="44.25" customHeight="1" outlineLevel="1">
      <c r="B20" s="269"/>
      <c r="D20" s="266"/>
      <c r="E20" s="268"/>
      <c r="F20" s="121"/>
      <c r="G20" s="104" t="str">
        <f>Output_Indicator_2.3</f>
        <v>Number of cases where lawyers have demonstrated usage of information received from NRC training</v>
      </c>
      <c r="H20" s="122"/>
      <c r="I20" s="102">
        <f>Output_2.3_Planned_2013</f>
        <v>0</v>
      </c>
      <c r="J20" s="104">
        <f>Output_2.3_Achieved_2013</f>
        <v>0</v>
      </c>
      <c r="K20" s="122"/>
      <c r="L20" s="274"/>
      <c r="M20" s="276"/>
      <c r="N20" s="123"/>
      <c r="O20" s="274"/>
      <c r="P20" s="122"/>
      <c r="Q20" s="102">
        <f>Output_2.3_Planned_2014</f>
        <v>0</v>
      </c>
      <c r="R20" s="104">
        <f>Output_2.3_Achieved_2014</f>
        <v>0</v>
      </c>
      <c r="S20" s="122"/>
      <c r="T20" s="274"/>
      <c r="U20" s="276"/>
      <c r="V20" s="123"/>
      <c r="W20" s="274"/>
      <c r="X20" s="122"/>
      <c r="Y20" s="102">
        <f>Output_2.3_Planned_2015</f>
        <v>0</v>
      </c>
      <c r="Z20" s="104">
        <f>Output_2.3_Achieved_2015</f>
        <v>0</v>
      </c>
      <c r="AA20" s="122"/>
      <c r="AB20" s="274"/>
      <c r="AC20" s="276"/>
      <c r="AD20" s="123"/>
      <c r="AE20" s="274"/>
    </row>
    <row r="21" spans="2:31" ht="33" customHeight="1" outlineLevel="1">
      <c r="B21" s="269"/>
      <c r="D21" s="266"/>
      <c r="E21" s="268"/>
      <c r="F21" s="51"/>
      <c r="G21" s="104" t="str">
        <f>Output_Indicator_2.4</f>
        <v>Number of persons receiving information services (disaggregated by gender)</v>
      </c>
      <c r="H21" s="40"/>
      <c r="I21" s="102">
        <f>Output_2.4_Planned_2013</f>
        <v>0</v>
      </c>
      <c r="J21" s="104">
        <f>Output_2.4_Achieved_2013</f>
        <v>0</v>
      </c>
      <c r="K21" s="40"/>
      <c r="L21" s="274"/>
      <c r="M21" s="276"/>
      <c r="N21" s="68"/>
      <c r="O21" s="274"/>
      <c r="P21" s="40"/>
      <c r="Q21" s="102">
        <f>Output_2.4_Planned_2014</f>
        <v>0</v>
      </c>
      <c r="R21" s="104">
        <f>Output_2.4_Achieved_2014</f>
        <v>0</v>
      </c>
      <c r="S21" s="111"/>
      <c r="T21" s="274"/>
      <c r="U21" s="276"/>
      <c r="V21" s="113"/>
      <c r="W21" s="274"/>
      <c r="X21" s="111"/>
      <c r="Y21" s="102">
        <f>Output_2.4_Planned_2015</f>
        <v>0</v>
      </c>
      <c r="Z21" s="104">
        <f>Output_2.4_Achieved_2015</f>
        <v>0</v>
      </c>
      <c r="AA21" s="111"/>
      <c r="AB21" s="274"/>
      <c r="AC21" s="276"/>
      <c r="AD21" s="113"/>
      <c r="AE21" s="274"/>
    </row>
    <row r="22" spans="2:31" ht="3" customHeight="1">
      <c r="B22" s="269"/>
      <c r="D22" s="40"/>
      <c r="E22" s="40"/>
      <c r="F22" s="40"/>
      <c r="G22" s="101"/>
      <c r="H22" s="40"/>
      <c r="I22" s="101"/>
      <c r="J22" s="101"/>
      <c r="K22" s="40"/>
      <c r="L22" s="40"/>
      <c r="M22" s="68"/>
      <c r="N22" s="68"/>
      <c r="O22" s="40"/>
      <c r="P22" s="40"/>
      <c r="Q22" s="101"/>
      <c r="R22" s="101"/>
      <c r="S22" s="111"/>
      <c r="T22" s="140"/>
      <c r="U22" s="113"/>
      <c r="V22" s="113"/>
      <c r="W22" s="111"/>
      <c r="X22" s="111"/>
      <c r="Y22" s="101"/>
      <c r="Z22" s="101"/>
      <c r="AA22" s="111"/>
      <c r="AB22" s="111"/>
      <c r="AC22" s="113"/>
      <c r="AD22" s="113"/>
      <c r="AE22" s="111"/>
    </row>
    <row r="23" spans="2:31" ht="34.5" customHeight="1">
      <c r="B23" s="269"/>
      <c r="D23" s="266" t="str">
        <f>OUTPUT_3</f>
        <v>Policy Change Response   -Influencing policy change on  HLP violations through advocacy. </v>
      </c>
      <c r="E23" s="268">
        <f>IMPACT_WEIGHTING_3</f>
        <v>0.3</v>
      </c>
      <c r="F23" s="51"/>
      <c r="G23" s="104" t="str">
        <f>Output_Indicator_3.1</f>
        <v>Number of advocacy briefings given on specific HLP issues (verbal or written)</v>
      </c>
      <c r="H23" s="40"/>
      <c r="I23" s="102">
        <f>Output_3.1_Planned_2013</f>
        <v>0</v>
      </c>
      <c r="J23" s="104">
        <f>Output_3.1_Achieved_2013</f>
        <v>0</v>
      </c>
      <c r="K23" s="40"/>
      <c r="L23" s="274" t="s">
        <v>54</v>
      </c>
      <c r="M23" s="276">
        <f>VLOOKUP(L23,$B$40:$F$46,3,FALSE)</f>
        <v>0</v>
      </c>
      <c r="N23" s="68"/>
      <c r="O23" s="274"/>
      <c r="P23" s="40"/>
      <c r="Q23" s="102">
        <f>Output_3.1_Planned_2014</f>
        <v>0</v>
      </c>
      <c r="R23" s="104">
        <f>Output_3.1_Achieved_2014</f>
        <v>0</v>
      </c>
      <c r="S23" s="111"/>
      <c r="T23" s="274" t="s">
        <v>54</v>
      </c>
      <c r="U23" s="276">
        <f>VLOOKUP(T23,$B$40:$F$46,3,FALSE)</f>
        <v>0</v>
      </c>
      <c r="V23" s="113"/>
      <c r="W23" s="274"/>
      <c r="X23" s="111"/>
      <c r="Y23" s="102">
        <f>Output_3.1_Planned_2015</f>
        <v>0</v>
      </c>
      <c r="Z23" s="104">
        <f>Output_3.1_Achieved_2015</f>
        <v>0</v>
      </c>
      <c r="AA23" s="111"/>
      <c r="AB23" s="274" t="s">
        <v>54</v>
      </c>
      <c r="AC23" s="276">
        <f>VLOOKUP(AB23,$B$40:$F$46,3,FALSE)</f>
        <v>0</v>
      </c>
      <c r="AD23" s="113"/>
      <c r="AE23" s="274"/>
    </row>
    <row r="24" spans="2:31" ht="25.5">
      <c r="B24" s="269"/>
      <c r="D24" s="266"/>
      <c r="E24" s="268"/>
      <c r="F24" s="51"/>
      <c r="G24" s="104" t="str">
        <f>Output_Indicator_3.2</f>
        <v>Number of  instances reported where NRC research documents have been used  </v>
      </c>
      <c r="H24" s="40"/>
      <c r="I24" s="102">
        <f>Output_3.2_Planned_2013</f>
        <v>0</v>
      </c>
      <c r="J24" s="104">
        <f>Output_3.2_Achieved_2013</f>
        <v>0</v>
      </c>
      <c r="K24" s="40"/>
      <c r="L24" s="274"/>
      <c r="M24" s="276"/>
      <c r="N24" s="68"/>
      <c r="O24" s="274"/>
      <c r="P24" s="40"/>
      <c r="Q24" s="102">
        <f>Output_3.2_Planned_2014</f>
        <v>0</v>
      </c>
      <c r="R24" s="104">
        <f>Output_3.2_Achieved_2014</f>
        <v>0</v>
      </c>
      <c r="S24" s="111"/>
      <c r="T24" s="274"/>
      <c r="U24" s="276"/>
      <c r="V24" s="113"/>
      <c r="W24" s="274"/>
      <c r="X24" s="111"/>
      <c r="Y24" s="102">
        <f>Output_3.2_Planned_2015</f>
        <v>0</v>
      </c>
      <c r="Z24" s="104">
        <f>Output_3.2_Achieved_2015</f>
        <v>0</v>
      </c>
      <c r="AA24" s="111"/>
      <c r="AB24" s="274"/>
      <c r="AC24" s="276"/>
      <c r="AD24" s="113"/>
      <c r="AE24" s="274"/>
    </row>
    <row r="25" spans="2:31" s="124" customFormat="1" ht="12.75" hidden="1" outlineLevel="1">
      <c r="B25" s="269"/>
      <c r="D25" s="266"/>
      <c r="E25" s="268"/>
      <c r="F25" s="121"/>
      <c r="G25" s="104">
        <f>Output_Indicator_3.3</f>
        <v>0</v>
      </c>
      <c r="H25" s="122"/>
      <c r="I25" s="102">
        <f>Output_3.3_Planned_2013</f>
        <v>0</v>
      </c>
      <c r="J25" s="104">
        <f>Output_3.3_Achieved_2013</f>
        <v>0</v>
      </c>
      <c r="K25" s="122"/>
      <c r="L25" s="274"/>
      <c r="M25" s="276"/>
      <c r="N25" s="123"/>
      <c r="O25" s="274"/>
      <c r="P25" s="122"/>
      <c r="Q25" s="102">
        <f>Output_3.3_Planned_2014</f>
        <v>0</v>
      </c>
      <c r="R25" s="104">
        <f>Output_3.3_Achieved_2014</f>
        <v>0</v>
      </c>
      <c r="S25" s="122"/>
      <c r="T25" s="274"/>
      <c r="U25" s="276"/>
      <c r="V25" s="123"/>
      <c r="W25" s="274"/>
      <c r="X25" s="122"/>
      <c r="Y25" s="102">
        <f>Output_3.3_Planned_2015</f>
        <v>0</v>
      </c>
      <c r="Z25" s="104">
        <f>Output_3.3_Achieved_2015</f>
        <v>0</v>
      </c>
      <c r="AA25" s="122"/>
      <c r="AB25" s="274"/>
      <c r="AC25" s="276"/>
      <c r="AD25" s="123"/>
      <c r="AE25" s="274"/>
    </row>
    <row r="26" spans="2:31" ht="12.75" hidden="1" outlineLevel="1">
      <c r="B26" s="269"/>
      <c r="D26" s="266"/>
      <c r="E26" s="268"/>
      <c r="F26" s="51"/>
      <c r="G26" s="104">
        <f>Output_Indicator_3.4</f>
        <v>0</v>
      </c>
      <c r="H26" s="40"/>
      <c r="I26" s="102">
        <f>Output_4.4_Planned_2013</f>
        <v>0</v>
      </c>
      <c r="J26" s="104">
        <f>Output_3.4_Achieved_2013</f>
        <v>0</v>
      </c>
      <c r="K26" s="40"/>
      <c r="L26" s="274"/>
      <c r="M26" s="276"/>
      <c r="N26" s="68"/>
      <c r="O26" s="274"/>
      <c r="P26" s="40"/>
      <c r="Q26" s="102">
        <f>Output_4.4_Planned_2014</f>
        <v>0</v>
      </c>
      <c r="R26" s="104">
        <f>Output_3.4_Achieved_2014</f>
        <v>0</v>
      </c>
      <c r="S26" s="111"/>
      <c r="T26" s="274"/>
      <c r="U26" s="276"/>
      <c r="V26" s="113"/>
      <c r="W26" s="274"/>
      <c r="X26" s="111"/>
      <c r="Y26" s="102">
        <f>Output_4.4_Planned_2015</f>
        <v>0</v>
      </c>
      <c r="Z26" s="104">
        <f>Output_3.4_Achieved_2015</f>
        <v>0</v>
      </c>
      <c r="AA26" s="111"/>
      <c r="AB26" s="274"/>
      <c r="AC26" s="276"/>
      <c r="AD26" s="113"/>
      <c r="AE26" s="274"/>
    </row>
    <row r="27" spans="2:31" ht="2.25" customHeight="1" collapsed="1">
      <c r="B27" s="269"/>
      <c r="D27" s="40"/>
      <c r="E27" s="40"/>
      <c r="F27" s="40"/>
      <c r="G27" s="101"/>
      <c r="H27" s="40"/>
      <c r="I27" s="101"/>
      <c r="J27" s="101"/>
      <c r="K27" s="40"/>
      <c r="L27" s="40"/>
      <c r="M27" s="68"/>
      <c r="N27" s="68"/>
      <c r="O27" s="40"/>
      <c r="P27" s="40"/>
      <c r="Q27" s="101"/>
      <c r="R27" s="101"/>
      <c r="S27" s="111"/>
      <c r="T27" s="140"/>
      <c r="U27" s="113"/>
      <c r="V27" s="113"/>
      <c r="W27" s="111"/>
      <c r="X27" s="111"/>
      <c r="Y27" s="101"/>
      <c r="Z27" s="101"/>
      <c r="AA27" s="111"/>
      <c r="AB27" s="111"/>
      <c r="AC27" s="113"/>
      <c r="AD27" s="113"/>
      <c r="AE27" s="111"/>
    </row>
    <row r="28" spans="2:31" s="112" customFormat="1" ht="46.5" customHeight="1">
      <c r="B28" s="269"/>
      <c r="D28" s="266" t="str">
        <f>OUTPUT_4</f>
        <v>PA Capacity Building Response  - Strengthen the capacity of the PA to provide legal aid in HLP cases.</v>
      </c>
      <c r="E28" s="268">
        <f>IMPACT_WEIGHTING_4</f>
        <v>0.1</v>
      </c>
      <c r="F28" s="110"/>
      <c r="G28" s="104" t="str">
        <f>Output_Indicator_4.1</f>
        <v>Extent to which an options paper is produced and being implemented  (Scale 1 to 5 see separate note)</v>
      </c>
      <c r="H28" s="111"/>
      <c r="I28" s="102">
        <f>Output_4.1_Planned_2013</f>
        <v>3</v>
      </c>
      <c r="J28" s="104">
        <f>Output_4.1_Achieved_2013</f>
        <v>0</v>
      </c>
      <c r="K28" s="111"/>
      <c r="L28" s="274" t="s">
        <v>54</v>
      </c>
      <c r="M28" s="276">
        <f>VLOOKUP(L28,$B$40:$F$46,3,FALSE)</f>
        <v>0</v>
      </c>
      <c r="N28" s="113"/>
      <c r="O28" s="274"/>
      <c r="P28" s="111"/>
      <c r="Q28" s="102">
        <f>Output_4.1_Planned_2014</f>
        <v>0</v>
      </c>
      <c r="R28" s="104">
        <f>Output_4.1_Achieved_2014</f>
        <v>0</v>
      </c>
      <c r="S28" s="111"/>
      <c r="T28" s="274" t="s">
        <v>54</v>
      </c>
      <c r="U28" s="276">
        <f>VLOOKUP(T28,$B$40:$F$46,3,FALSE)</f>
        <v>0</v>
      </c>
      <c r="V28" s="113"/>
      <c r="W28" s="274"/>
      <c r="X28" s="111"/>
      <c r="Y28" s="102">
        <f>Output_4.1_Planned_2015</f>
        <v>4</v>
      </c>
      <c r="Z28" s="104">
        <f>Output_4.1_Achieved_2015</f>
        <v>0</v>
      </c>
      <c r="AA28" s="111"/>
      <c r="AB28" s="274" t="s">
        <v>54</v>
      </c>
      <c r="AC28" s="276">
        <f>VLOOKUP(AB28,$B$40:$F$46,3,FALSE)</f>
        <v>0</v>
      </c>
      <c r="AD28" s="113"/>
      <c r="AE28" s="111"/>
    </row>
    <row r="29" spans="2:31" s="112" customFormat="1" ht="60.75" customHeight="1">
      <c r="B29" s="269"/>
      <c r="D29" s="266"/>
      <c r="E29" s="268"/>
      <c r="F29" s="110"/>
      <c r="G29" s="104" t="str">
        <f>Output_Indicator_4.2</f>
        <v>Number of direct issues of cooperation where NRC is actively working with UNDP and PA on development of a sustainable legal aid system for HLP law</v>
      </c>
      <c r="H29" s="111"/>
      <c r="I29" s="102">
        <f>Output_4.2_Planned_2013</f>
        <v>0</v>
      </c>
      <c r="J29" s="104">
        <f>Output_4.2_Achieved_2013</f>
        <v>0</v>
      </c>
      <c r="K29" s="111"/>
      <c r="L29" s="274"/>
      <c r="M29" s="276"/>
      <c r="N29" s="113"/>
      <c r="O29" s="274"/>
      <c r="P29" s="111"/>
      <c r="Q29" s="102">
        <f>Output_4.2_Planned_2014</f>
        <v>0</v>
      </c>
      <c r="R29" s="104">
        <f>Output_4.2_Achieved_2014</f>
        <v>0</v>
      </c>
      <c r="S29" s="111"/>
      <c r="T29" s="274"/>
      <c r="U29" s="276"/>
      <c r="V29" s="113"/>
      <c r="W29" s="274"/>
      <c r="X29" s="111"/>
      <c r="Y29" s="102">
        <f>Output_4.2_Planned_2015</f>
        <v>0</v>
      </c>
      <c r="Z29" s="104">
        <f>Output_4.2_Achieved_2015</f>
        <v>0</v>
      </c>
      <c r="AA29" s="111"/>
      <c r="AB29" s="274"/>
      <c r="AC29" s="276"/>
      <c r="AD29" s="113"/>
      <c r="AE29" s="111"/>
    </row>
    <row r="30" spans="2:31" s="124" customFormat="1" ht="12.75" hidden="1" outlineLevel="1">
      <c r="B30" s="269"/>
      <c r="D30" s="266"/>
      <c r="E30" s="268"/>
      <c r="F30" s="121"/>
      <c r="G30" s="104">
        <f>Output_Indicator_4.3</f>
        <v>0</v>
      </c>
      <c r="H30" s="122"/>
      <c r="I30" s="102">
        <f>Output_4.3_Planned_2013</f>
        <v>0</v>
      </c>
      <c r="J30" s="104">
        <f>Output_4.3_Achieved_2013</f>
        <v>0</v>
      </c>
      <c r="K30" s="122"/>
      <c r="L30" s="274"/>
      <c r="M30" s="276"/>
      <c r="N30" s="123"/>
      <c r="O30" s="274"/>
      <c r="P30" s="122"/>
      <c r="Q30" s="102">
        <f>Output_4.3_Planned_2014</f>
        <v>0</v>
      </c>
      <c r="R30" s="104">
        <f>Output_4.3_Achieved_2013</f>
        <v>0</v>
      </c>
      <c r="S30" s="122"/>
      <c r="T30" s="274"/>
      <c r="U30" s="276"/>
      <c r="V30" s="123"/>
      <c r="W30" s="274"/>
      <c r="X30" s="122"/>
      <c r="Y30" s="102">
        <f>Output_4.3_Planned_2015</f>
        <v>0</v>
      </c>
      <c r="Z30" s="104">
        <f>Output_4.3_Achieved_2015</f>
        <v>0</v>
      </c>
      <c r="AA30" s="122"/>
      <c r="AB30" s="274"/>
      <c r="AC30" s="276"/>
      <c r="AD30" s="123"/>
      <c r="AE30" s="122"/>
    </row>
    <row r="31" spans="2:31" s="112" customFormat="1" ht="12.75" hidden="1" outlineLevel="1">
      <c r="B31" s="269"/>
      <c r="D31" s="266"/>
      <c r="E31" s="268"/>
      <c r="F31" s="110"/>
      <c r="G31" s="104">
        <f>Output_Indicator_4.4</f>
        <v>0</v>
      </c>
      <c r="H31" s="111"/>
      <c r="I31" s="102">
        <f>Output_4.4_Planned_2013</f>
        <v>0</v>
      </c>
      <c r="J31" s="104">
        <f>Output_4.4_Achieved_2013</f>
        <v>0</v>
      </c>
      <c r="K31" s="111"/>
      <c r="L31" s="274"/>
      <c r="M31" s="276"/>
      <c r="N31" s="113"/>
      <c r="O31" s="274"/>
      <c r="P31" s="111"/>
      <c r="Q31" s="102">
        <f>Output_4.4_Planned_2014</f>
        <v>0</v>
      </c>
      <c r="R31" s="104">
        <f>Output_4.4_Achieved_2014</f>
        <v>0</v>
      </c>
      <c r="S31" s="111"/>
      <c r="T31" s="274"/>
      <c r="U31" s="276"/>
      <c r="V31" s="113"/>
      <c r="W31" s="274"/>
      <c r="X31" s="111"/>
      <c r="Y31" s="102">
        <f>Output_4.4_Planned_2015</f>
        <v>0</v>
      </c>
      <c r="Z31" s="104">
        <f>Output_4.4_Achieved_2015</f>
        <v>0</v>
      </c>
      <c r="AA31" s="111"/>
      <c r="AB31" s="274"/>
      <c r="AC31" s="276"/>
      <c r="AD31" s="113"/>
      <c r="AE31" s="111"/>
    </row>
    <row r="32" spans="2:31" s="112" customFormat="1" ht="2.25" customHeight="1" hidden="1" outlineLevel="1">
      <c r="B32" s="269"/>
      <c r="D32" s="111"/>
      <c r="E32" s="111"/>
      <c r="F32" s="111"/>
      <c r="G32" s="101"/>
      <c r="H32" s="111"/>
      <c r="I32" s="101"/>
      <c r="J32" s="101"/>
      <c r="K32" s="111"/>
      <c r="L32" s="111"/>
      <c r="M32" s="113"/>
      <c r="N32" s="113"/>
      <c r="O32" s="111"/>
      <c r="P32" s="111"/>
      <c r="Q32" s="101"/>
      <c r="R32" s="101"/>
      <c r="S32" s="111"/>
      <c r="T32" s="140"/>
      <c r="U32" s="113"/>
      <c r="V32" s="113"/>
      <c r="W32" s="111"/>
      <c r="X32" s="111"/>
      <c r="Y32" s="101"/>
      <c r="Z32" s="101"/>
      <c r="AA32" s="111"/>
      <c r="AB32" s="111"/>
      <c r="AC32" s="113"/>
      <c r="AD32" s="113"/>
      <c r="AE32" s="111"/>
    </row>
    <row r="33" spans="2:31" ht="2.25" customHeight="1" hidden="1" outlineLevel="1">
      <c r="B33" s="269"/>
      <c r="D33" s="266">
        <f>OUTPUT_5</f>
        <v>0</v>
      </c>
      <c r="E33" s="268">
        <f>IMPACT_WEIGHTING_5</f>
        <v>0</v>
      </c>
      <c r="F33" s="51"/>
      <c r="G33" s="104">
        <f>Output_Indicator_5.1</f>
        <v>0</v>
      </c>
      <c r="H33" s="40"/>
      <c r="I33" s="102">
        <f>Output_5.1_Planned_2013</f>
        <v>0</v>
      </c>
      <c r="J33" s="104">
        <f>Output_5.1_Achieved_2013</f>
        <v>0</v>
      </c>
      <c r="K33" s="40"/>
      <c r="L33" s="274" t="s">
        <v>54</v>
      </c>
      <c r="M33" s="276">
        <f>VLOOKUP(L33,$B$40:$F$46,3,FALSE)</f>
        <v>0</v>
      </c>
      <c r="N33" s="68"/>
      <c r="O33" s="274"/>
      <c r="P33" s="40"/>
      <c r="Q33" s="102">
        <f>Output_5.1_Planned_2014</f>
        <v>0</v>
      </c>
      <c r="R33" s="104">
        <f>Output_5.1_Achieved_2014</f>
        <v>0</v>
      </c>
      <c r="S33" s="111"/>
      <c r="T33" s="274" t="s">
        <v>54</v>
      </c>
      <c r="U33" s="276">
        <f>VLOOKUP(T33,$B$40:$F$46,3,FALSE)</f>
        <v>0</v>
      </c>
      <c r="V33" s="113"/>
      <c r="W33" s="274"/>
      <c r="X33" s="111"/>
      <c r="Y33" s="102">
        <f>Output_5.1_Planned_2015</f>
        <v>0</v>
      </c>
      <c r="Z33" s="104">
        <f>Output_5.1_Achieved_2015</f>
        <v>0</v>
      </c>
      <c r="AA33" s="111"/>
      <c r="AB33" s="274" t="s">
        <v>54</v>
      </c>
      <c r="AC33" s="276">
        <f>VLOOKUP(AB33,$B$40:$F$46,3,FALSE)</f>
        <v>0</v>
      </c>
      <c r="AD33" s="113"/>
      <c r="AE33" s="274"/>
    </row>
    <row r="34" spans="2:31" ht="12.75" hidden="1" outlineLevel="1">
      <c r="B34" s="269"/>
      <c r="D34" s="266"/>
      <c r="E34" s="268"/>
      <c r="F34" s="51"/>
      <c r="G34" s="104">
        <f>Output_Indicator_5.2</f>
        <v>0</v>
      </c>
      <c r="H34" s="40"/>
      <c r="I34" s="102">
        <f>Output_5.2_Planned_2013</f>
        <v>0</v>
      </c>
      <c r="J34" s="104">
        <f>Output_5.2_Achieved_2013</f>
        <v>0</v>
      </c>
      <c r="K34" s="40"/>
      <c r="L34" s="274"/>
      <c r="M34" s="276"/>
      <c r="N34" s="68"/>
      <c r="O34" s="274"/>
      <c r="P34" s="40"/>
      <c r="Q34" s="102">
        <f>Output_5.2_Planned_2014</f>
        <v>0</v>
      </c>
      <c r="R34" s="104">
        <f>Output_5.2_Achieved_2014</f>
        <v>0</v>
      </c>
      <c r="S34" s="111"/>
      <c r="T34" s="274"/>
      <c r="U34" s="276"/>
      <c r="V34" s="113"/>
      <c r="W34" s="274"/>
      <c r="X34" s="111"/>
      <c r="Y34" s="102">
        <f>Output_5.2_Planned_2015</f>
        <v>0</v>
      </c>
      <c r="Z34" s="104">
        <f>Output_5.2_Achieved_2015</f>
        <v>0</v>
      </c>
      <c r="AA34" s="111"/>
      <c r="AB34" s="274"/>
      <c r="AC34" s="276"/>
      <c r="AD34" s="113"/>
      <c r="AE34" s="274"/>
    </row>
    <row r="35" spans="2:31" s="124" customFormat="1" ht="12.75" hidden="1" outlineLevel="1">
      <c r="B35" s="269"/>
      <c r="D35" s="266"/>
      <c r="E35" s="268"/>
      <c r="F35" s="121"/>
      <c r="G35" s="104">
        <f>Output_Indicator_5.3</f>
        <v>0</v>
      </c>
      <c r="H35" s="122"/>
      <c r="I35" s="102">
        <f>Output_5.3_Planned_2013</f>
        <v>0</v>
      </c>
      <c r="J35" s="104">
        <f>Output_5.3_Achieved_2013</f>
        <v>0</v>
      </c>
      <c r="K35" s="122"/>
      <c r="L35" s="274"/>
      <c r="M35" s="276"/>
      <c r="N35" s="123"/>
      <c r="O35" s="274"/>
      <c r="P35" s="122"/>
      <c r="Q35" s="102">
        <f>Output_5.3_Planned_2014</f>
        <v>0</v>
      </c>
      <c r="R35" s="104">
        <f>Output_5.3_Achieved_2014</f>
        <v>0</v>
      </c>
      <c r="S35" s="122"/>
      <c r="T35" s="274"/>
      <c r="U35" s="276"/>
      <c r="V35" s="123"/>
      <c r="W35" s="274"/>
      <c r="X35" s="122"/>
      <c r="Y35" s="102">
        <f>Output_5.3_Planned_2015</f>
        <v>0</v>
      </c>
      <c r="Z35" s="104">
        <f>Output_5.3_Achieved_2015</f>
        <v>0</v>
      </c>
      <c r="AA35" s="122"/>
      <c r="AB35" s="274"/>
      <c r="AC35" s="276"/>
      <c r="AD35" s="123"/>
      <c r="AE35" s="274"/>
    </row>
    <row r="36" spans="2:31" ht="12.75" hidden="1" outlineLevel="1">
      <c r="B36" s="269"/>
      <c r="D36" s="266"/>
      <c r="E36" s="268"/>
      <c r="F36" s="51"/>
      <c r="G36" s="104">
        <f>Output_Indicator_5.4</f>
        <v>0</v>
      </c>
      <c r="H36" s="40"/>
      <c r="I36" s="102">
        <f>Output_5.4_Planned_2013</f>
        <v>0</v>
      </c>
      <c r="J36" s="104">
        <f>Output_5.4_Achieved_2013</f>
        <v>0</v>
      </c>
      <c r="K36" s="40"/>
      <c r="L36" s="274"/>
      <c r="M36" s="276"/>
      <c r="N36" s="68"/>
      <c r="O36" s="274"/>
      <c r="P36" s="40"/>
      <c r="Q36" s="102">
        <f>Output_5.4_Planned_2014</f>
        <v>0</v>
      </c>
      <c r="R36" s="104">
        <f>Output_5.4_Achieved_2014</f>
        <v>0</v>
      </c>
      <c r="S36" s="111"/>
      <c r="T36" s="274"/>
      <c r="U36" s="276"/>
      <c r="V36" s="113"/>
      <c r="W36" s="274"/>
      <c r="X36" s="111"/>
      <c r="Y36" s="102">
        <f>Output_5.4_Planned_2015</f>
        <v>0</v>
      </c>
      <c r="Z36" s="104">
        <f>Output_5.4_Achieved_2015</f>
        <v>0</v>
      </c>
      <c r="AA36" s="111"/>
      <c r="AB36" s="274"/>
      <c r="AC36" s="276"/>
      <c r="AD36" s="113"/>
      <c r="AE36" s="274"/>
    </row>
    <row r="37" spans="9:26" ht="3.75" customHeight="1" collapsed="1">
      <c r="I37" s="106"/>
      <c r="J37" s="106"/>
      <c r="Q37" s="106"/>
      <c r="R37" s="106"/>
      <c r="T37" s="141"/>
      <c r="Y37" s="106"/>
      <c r="Z37" s="106"/>
    </row>
    <row r="38" spans="2:30" ht="38.25">
      <c r="B38" s="143" t="s">
        <v>72</v>
      </c>
      <c r="E38" s="79">
        <f>SUM(E13:E36)</f>
        <v>0.9999999999999999</v>
      </c>
      <c r="L38" s="70" t="str">
        <f>IF(M38&gt;137.5%,"A++",IF(M38&gt;=112.5%,"A+",IF(M38&gt;=87.5%,"A",IF(M38&gt;=62.5%,"B",IF(M38&gt;=2%,"C",B46)))))</f>
        <v>n/a</v>
      </c>
      <c r="M38" s="48">
        <f>(M13*E13)+(M18*E18)+(M23*E23)+(M33*E33)</f>
        <v>0</v>
      </c>
      <c r="N38" s="48"/>
      <c r="T38" s="70">
        <f>IF(U38&gt;137.5%,"A++",IF(U38&gt;=112.5%,"A+",IF(U38&gt;=87.5%,"A",IF(U38&gt;=62.5%,"B",IF(U38&gt;=2%,"C",J46)))))</f>
        <v>0</v>
      </c>
      <c r="U38" s="48">
        <f>(U13*M13)+(U18*M18)+(U23*M23)+(U33*M33)</f>
        <v>0</v>
      </c>
      <c r="V38" s="48"/>
      <c r="AB38" s="70">
        <f>IF(AC38&gt;137.5%,"A++",IF(AC38&gt;=112.5%,"A+",IF(AC38&gt;=87.5%,"A",IF(AC38&gt;=62.5%,"B",IF(AC38&gt;=2%,"C",R46)))))</f>
        <v>0</v>
      </c>
      <c r="AC38" s="48">
        <f>(AC13*U13)+(AC18*U18)+(AC23*U23)+(AC33*U33)</f>
        <v>0</v>
      </c>
      <c r="AD38" s="48"/>
    </row>
    <row r="39" spans="12:28" ht="20.25">
      <c r="L39" s="69"/>
      <c r="T39" s="69"/>
      <c r="AB39" s="69"/>
    </row>
    <row r="40" spans="2:28" ht="15">
      <c r="B40" s="65"/>
      <c r="C40" s="67"/>
      <c r="D40" s="65" t="s">
        <v>49</v>
      </c>
      <c r="E40" s="67" t="s">
        <v>48</v>
      </c>
      <c r="F40" s="64"/>
      <c r="G40" s="64"/>
      <c r="L40" s="69"/>
      <c r="T40" s="69"/>
      <c r="AB40" s="69"/>
    </row>
    <row r="41" spans="2:7" ht="15">
      <c r="B41" s="77" t="s">
        <v>41</v>
      </c>
      <c r="C41" s="66"/>
      <c r="D41" s="71">
        <v>1.5</v>
      </c>
      <c r="E41" s="74">
        <v>1.375</v>
      </c>
      <c r="F41" s="64"/>
      <c r="G41" s="80" t="s">
        <v>57</v>
      </c>
    </row>
    <row r="42" spans="2:7" ht="15">
      <c r="B42" s="77" t="s">
        <v>42</v>
      </c>
      <c r="C42" s="66"/>
      <c r="D42" s="71">
        <v>1.25</v>
      </c>
      <c r="E42" s="74">
        <v>1.125</v>
      </c>
      <c r="F42" s="64"/>
      <c r="G42" s="80" t="s">
        <v>55</v>
      </c>
    </row>
    <row r="43" spans="2:7" ht="15">
      <c r="B43" s="77" t="s">
        <v>45</v>
      </c>
      <c r="C43" s="66"/>
      <c r="D43" s="71">
        <v>1</v>
      </c>
      <c r="E43" s="74">
        <v>0.875</v>
      </c>
      <c r="F43" s="64"/>
      <c r="G43" s="80" t="s">
        <v>56</v>
      </c>
    </row>
    <row r="44" spans="2:7" ht="15">
      <c r="B44" s="77" t="s">
        <v>43</v>
      </c>
      <c r="C44" s="66"/>
      <c r="D44" s="71">
        <v>0.75</v>
      </c>
      <c r="E44" s="74">
        <v>0.625</v>
      </c>
      <c r="F44" s="64"/>
      <c r="G44" s="80" t="s">
        <v>58</v>
      </c>
    </row>
    <row r="45" spans="2:7" ht="15">
      <c r="B45" s="77" t="s">
        <v>44</v>
      </c>
      <c r="C45" s="66"/>
      <c r="D45" s="71">
        <v>0.5</v>
      </c>
      <c r="E45" s="75"/>
      <c r="F45" s="64"/>
      <c r="G45" s="80" t="s">
        <v>59</v>
      </c>
    </row>
    <row r="46" spans="2:5" ht="20.25">
      <c r="B46" s="78" t="s">
        <v>54</v>
      </c>
      <c r="D46" s="72">
        <v>0</v>
      </c>
      <c r="E46" s="73"/>
    </row>
    <row r="47" spans="2:5" ht="20.25">
      <c r="B47" s="78"/>
      <c r="D47" s="72"/>
      <c r="E47" s="73"/>
    </row>
    <row r="48" spans="2:7" ht="12.75">
      <c r="B48" s="44" t="s">
        <v>60</v>
      </c>
      <c r="C48" s="44"/>
      <c r="D48" s="44"/>
      <c r="E48" s="44"/>
      <c r="F48" s="44"/>
      <c r="G48" s="44"/>
    </row>
    <row r="49" spans="2:7" ht="12.75">
      <c r="B49" s="44" t="s">
        <v>46</v>
      </c>
      <c r="C49" s="44"/>
      <c r="D49" s="44">
        <v>1</v>
      </c>
      <c r="E49" s="44"/>
      <c r="F49" s="44"/>
      <c r="G49" s="44"/>
    </row>
    <row r="50" spans="2:7" ht="12.75">
      <c r="B50" s="44" t="s">
        <v>27</v>
      </c>
      <c r="C50" s="44"/>
      <c r="D50" s="44">
        <v>2</v>
      </c>
      <c r="E50" s="44"/>
      <c r="F50" s="44"/>
      <c r="G50" s="44"/>
    </row>
    <row r="51" spans="2:7" ht="12.75">
      <c r="B51" s="44" t="s">
        <v>47</v>
      </c>
      <c r="C51" s="44"/>
      <c r="D51" s="44">
        <v>3</v>
      </c>
      <c r="E51" s="44"/>
      <c r="F51" s="44"/>
      <c r="G51" s="44"/>
    </row>
    <row r="52" spans="2:7" ht="12.75">
      <c r="B52" s="44"/>
      <c r="C52" s="44"/>
      <c r="D52" s="44"/>
      <c r="E52" s="44"/>
      <c r="F52" s="44"/>
      <c r="G52" s="44"/>
    </row>
    <row r="53" ht="12.75">
      <c r="B53" s="81"/>
    </row>
  </sheetData>
  <sheetProtection/>
  <mergeCells count="70">
    <mergeCell ref="O28:O31"/>
    <mergeCell ref="T28:T31"/>
    <mergeCell ref="U28:U31"/>
    <mergeCell ref="W28:W31"/>
    <mergeCell ref="AB28:AB31"/>
    <mergeCell ref="AC23:AC26"/>
    <mergeCell ref="AE23:AE26"/>
    <mergeCell ref="AB33:AB36"/>
    <mergeCell ref="AC33:AC36"/>
    <mergeCell ref="AE33:AE36"/>
    <mergeCell ref="AC28:AC31"/>
    <mergeCell ref="AE9:AE11"/>
    <mergeCell ref="AB13:AB16"/>
    <mergeCell ref="AC13:AC16"/>
    <mergeCell ref="AE13:AE16"/>
    <mergeCell ref="AB18:AB21"/>
    <mergeCell ref="AC18:AC21"/>
    <mergeCell ref="AE18:AE21"/>
    <mergeCell ref="T33:T36"/>
    <mergeCell ref="U33:U36"/>
    <mergeCell ref="W33:W36"/>
    <mergeCell ref="Y4:Z4"/>
    <mergeCell ref="AB9:AB11"/>
    <mergeCell ref="AB23:AB26"/>
    <mergeCell ref="T18:T21"/>
    <mergeCell ref="U18:U21"/>
    <mergeCell ref="W18:W21"/>
    <mergeCell ref="T23:T26"/>
    <mergeCell ref="U23:U26"/>
    <mergeCell ref="W23:W26"/>
    <mergeCell ref="Q4:R4"/>
    <mergeCell ref="T9:T11"/>
    <mergeCell ref="W9:W11"/>
    <mergeCell ref="T13:T16"/>
    <mergeCell ref="U13:U16"/>
    <mergeCell ref="W13:W16"/>
    <mergeCell ref="B1:AD1"/>
    <mergeCell ref="B9:B11"/>
    <mergeCell ref="D9:E11"/>
    <mergeCell ref="I4:J4"/>
    <mergeCell ref="O33:O36"/>
    <mergeCell ref="O23:O26"/>
    <mergeCell ref="O18:O21"/>
    <mergeCell ref="O13:O16"/>
    <mergeCell ref="O9:O11"/>
    <mergeCell ref="M13:M16"/>
    <mergeCell ref="M18:M21"/>
    <mergeCell ref="M23:M26"/>
    <mergeCell ref="B13:B36"/>
    <mergeCell ref="D13:D16"/>
    <mergeCell ref="D18:D21"/>
    <mergeCell ref="E18:E21"/>
    <mergeCell ref="D23:D26"/>
    <mergeCell ref="M33:M36"/>
    <mergeCell ref="L18:L21"/>
    <mergeCell ref="L23:L26"/>
    <mergeCell ref="L33:L36"/>
    <mergeCell ref="E23:E26"/>
    <mergeCell ref="D33:D36"/>
    <mergeCell ref="E33:E36"/>
    <mergeCell ref="D28:D31"/>
    <mergeCell ref="E28:E31"/>
    <mergeCell ref="L28:L31"/>
    <mergeCell ref="M28:M31"/>
    <mergeCell ref="L9:L11"/>
    <mergeCell ref="B3:E3"/>
    <mergeCell ref="B6:B7"/>
    <mergeCell ref="D6:E7"/>
    <mergeCell ref="L13:L16"/>
    <mergeCell ref="E13:E16"/>
  </mergeCells>
  <conditionalFormatting sqref="L9:L38">
    <cfRule type="cellIs" priority="19" dxfId="4" operator="equal">
      <formula>$B$45</formula>
    </cfRule>
    <cfRule type="cellIs" priority="20" dxfId="3" operator="equal">
      <formula>$B$44</formula>
    </cfRule>
    <cfRule type="cellIs" priority="21" dxfId="20" operator="equal">
      <formula>$B$43</formula>
    </cfRule>
    <cfRule type="cellIs" priority="22" dxfId="16" operator="equal">
      <formula>$B$42</formula>
    </cfRule>
    <cfRule type="cellIs" priority="23" dxfId="0" operator="equal">
      <formula>$B$41</formula>
    </cfRule>
  </conditionalFormatting>
  <conditionalFormatting sqref="T9:T38 AB9:AB38">
    <cfRule type="cellIs" priority="16" dxfId="1" operator="equal">
      <formula>$B$43</formula>
    </cfRule>
    <cfRule type="cellIs" priority="17" dxfId="16" operator="equal">
      <formula>$B$42</formula>
    </cfRule>
    <cfRule type="cellIs" priority="18" dxfId="0" operator="equal">
      <formula>$B$41</formula>
    </cfRule>
  </conditionalFormatting>
  <conditionalFormatting sqref="L9:L36">
    <cfRule type="cellIs" priority="15" dxfId="1" operator="equal">
      <formula>$B$42</formula>
    </cfRule>
  </conditionalFormatting>
  <conditionalFormatting sqref="L9:L38 T9:T38 AB9:AB38">
    <cfRule type="cellIs" priority="10" dxfId="4" operator="equal">
      <formula>$B$45</formula>
    </cfRule>
    <cfRule type="cellIs" priority="11" dxfId="3" operator="equal">
      <formula>$B$44</formula>
    </cfRule>
    <cfRule type="cellIs" priority="12" dxfId="2" operator="equal">
      <formula>$B$43</formula>
    </cfRule>
    <cfRule type="cellIs" priority="13" dxfId="1" operator="equal">
      <formula>$B$42</formula>
    </cfRule>
    <cfRule type="cellIs" priority="14" dxfId="0" operator="equal">
      <formula>$B$41</formula>
    </cfRule>
  </conditionalFormatting>
  <conditionalFormatting sqref="O9:O36 W9:W36 AE7 AE9:AE37 B49:B51">
    <cfRule type="cellIs" priority="9" dxfId="0" operator="equal">
      <formula>$B$49</formula>
    </cfRule>
  </conditionalFormatting>
  <conditionalFormatting sqref="O9:O36 W9:W36 AE7 AE9:AE37 B49:B51">
    <cfRule type="cellIs" priority="8" dxfId="3" operator="equal">
      <formula>$B$50</formula>
    </cfRule>
  </conditionalFormatting>
  <conditionalFormatting sqref="O9:O36 W9:W36 AE7 AE9:AE37 B49:B51">
    <cfRule type="cellIs" priority="7" dxfId="4" operator="equal">
      <formula>$B$51</formula>
    </cfRule>
  </conditionalFormatting>
  <conditionalFormatting sqref="B41:B45">
    <cfRule type="cellIs" priority="1" dxfId="1" operator="equal">
      <formula>$B$42</formula>
    </cfRule>
    <cfRule type="cellIs" priority="2" dxfId="4" operator="equal">
      <formula>$B$45</formula>
    </cfRule>
    <cfRule type="cellIs" priority="3" dxfId="3" operator="equal">
      <formula>$B$44</formula>
    </cfRule>
    <cfRule type="cellIs" priority="4" dxfId="2" operator="equal">
      <formula>$B$43</formula>
    </cfRule>
    <cfRule type="cellIs" priority="5" dxfId="1" operator="equal">
      <formula>$B$42</formula>
    </cfRule>
    <cfRule type="cellIs" priority="6" dxfId="0" operator="equal">
      <formula>$B$41</formula>
    </cfRule>
  </conditionalFormatting>
  <dataValidations count="2">
    <dataValidation type="list" allowBlank="1" showInputMessage="1" showErrorMessage="1" sqref="L33:L36 AB18:AB21 AB23:AB26 AB9 AB12:AB16 AB33:AB36 T18:T21 T23:T26 T9 T12:T16 T33:T36 L18:L21 L23:L26 L9 L12:L16 AB28:AB31 T28:T31 L28:L31">
      <formula1>$B$41:$B$46</formula1>
    </dataValidation>
    <dataValidation type="list" allowBlank="1" showInputMessage="1" showErrorMessage="1" sqref="W9:X38 O9:O38 AE9:AE38">
      <formula1>$B$49:$B$52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M3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5" width="16.8515625" style="0" customWidth="1"/>
  </cols>
  <sheetData>
    <row r="2" ht="12.75">
      <c r="A2" s="173" t="s">
        <v>107</v>
      </c>
    </row>
    <row r="3" spans="1:5" ht="12.75">
      <c r="A3">
        <v>1</v>
      </c>
      <c r="B3">
        <v>2</v>
      </c>
      <c r="C3">
        <v>3</v>
      </c>
      <c r="D3">
        <v>4</v>
      </c>
      <c r="E3">
        <v>5</v>
      </c>
    </row>
    <row r="4" spans="1:5" ht="60.75" customHeight="1">
      <c r="A4" s="174" t="s">
        <v>104</v>
      </c>
      <c r="B4" s="174" t="s">
        <v>108</v>
      </c>
      <c r="C4" s="174" t="s">
        <v>106</v>
      </c>
      <c r="D4" s="174" t="s">
        <v>105</v>
      </c>
      <c r="E4" s="17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dcterms:created xsi:type="dcterms:W3CDTF">2014-01-07T11:03:33Z</dcterms:created>
  <dcterms:modified xsi:type="dcterms:W3CDTF">2014-01-07T11:04:09Z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Document Type">
    <vt:lpwstr>Logical Framework</vt:lpwstr>
  </property>
</Properties>
</file>